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FOOT EDUCATIF\label fff\label fff NC\"/>
    </mc:Choice>
  </mc:AlternateContent>
  <bookViews>
    <workbookView xWindow="696" yWindow="300" windowWidth="18000" windowHeight="11100"/>
  </bookViews>
  <sheets>
    <sheet name="Données" sheetId="19" r:id="rId1"/>
    <sheet name="Eval CI" sheetId="13" r:id="rId2"/>
    <sheet name="Eval CC Projet associatif" sheetId="12" r:id="rId3"/>
    <sheet name="Eval CC Projet sportif" sheetId="14" r:id="rId4"/>
    <sheet name="Eval CC Projet éducatif" sheetId="15" r:id="rId5"/>
    <sheet name="Eval CC Projet de formation" sheetId="16" r:id="rId6"/>
    <sheet name="Eval finale" sheetId="18" r:id="rId7"/>
  </sheets>
  <definedNames>
    <definedName name="_xlnm.Print_Titles" localSheetId="2">'Eval CC Projet associatif'!$1:$5</definedName>
    <definedName name="_xlnm.Print_Titles" localSheetId="4">'Eval CC Projet éducatif'!$1:$4</definedName>
    <definedName name="_xlnm.Print_Titles" localSheetId="3">'Eval CC Projet sportif'!$1:$4</definedName>
    <definedName name="_xlnm.Print_Titles" localSheetId="1">'Eval CI'!$41:$41</definedName>
    <definedName name="_xlnm.Print_Area" localSheetId="2">'Eval CC Projet associatif'!$A$1:$L$74</definedName>
    <definedName name="_xlnm.Print_Area" localSheetId="5">'Eval CC Projet de formation'!$A$1:$L$32</definedName>
    <definedName name="_xlnm.Print_Area" localSheetId="4">'Eval CC Projet éducatif'!$A$1:$L$42</definedName>
    <definedName name="_xlnm.Print_Area" localSheetId="3">'Eval CC Projet sportif'!$A$1:$K$51</definedName>
    <definedName name="_xlnm.Print_Area" localSheetId="1">'Eval CI'!$B$1:$M$89</definedName>
    <definedName name="_xlnm.Print_Area" localSheetId="6">'Eval finale'!$A$1:$R$99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3" l="1"/>
  <c r="K9" i="13"/>
  <c r="I9" i="13"/>
  <c r="E44" i="19" l="1"/>
  <c r="K23" i="12" l="1"/>
  <c r="N63" i="12"/>
  <c r="N64" i="12"/>
  <c r="N65" i="12"/>
  <c r="N66" i="12"/>
  <c r="N67" i="12"/>
  <c r="N62" i="12"/>
  <c r="L62" i="12" l="1"/>
  <c r="L16" i="16" l="1"/>
  <c r="L35" i="15"/>
  <c r="I33" i="14" l="1"/>
  <c r="I27" i="14"/>
  <c r="I8" i="14"/>
  <c r="I7" i="14"/>
  <c r="L68" i="12"/>
  <c r="L49" i="12"/>
  <c r="L48" i="12" l="1"/>
  <c r="L41" i="12"/>
  <c r="L37" i="12"/>
  <c r="I20" i="14"/>
  <c r="I21" i="14"/>
  <c r="I19" i="14"/>
  <c r="L27" i="16" l="1"/>
  <c r="R11" i="16" s="1"/>
  <c r="T11" i="16" s="1"/>
  <c r="L25" i="16"/>
  <c r="R10" i="16" s="1"/>
  <c r="T10" i="16" s="1"/>
  <c r="L23" i="16"/>
  <c r="R9" i="16" s="1"/>
  <c r="T9" i="16" s="1"/>
  <c r="L21" i="16"/>
  <c r="R8" i="16" s="1"/>
  <c r="T8" i="16" s="1"/>
  <c r="M13" i="16"/>
  <c r="M14" i="16"/>
  <c r="L8" i="16"/>
  <c r="L7" i="16"/>
  <c r="L36" i="15"/>
  <c r="M33" i="15"/>
  <c r="M34" i="15"/>
  <c r="M32" i="15"/>
  <c r="N13" i="16" l="1"/>
  <c r="L13" i="16" s="1"/>
  <c r="N32" i="15"/>
  <c r="L32" i="15" s="1"/>
  <c r="M21" i="15"/>
  <c r="M22" i="15"/>
  <c r="M23" i="15"/>
  <c r="M24" i="15"/>
  <c r="M25" i="15"/>
  <c r="M20" i="15"/>
  <c r="L18" i="15"/>
  <c r="L17" i="15"/>
  <c r="L16" i="15"/>
  <c r="I38" i="14"/>
  <c r="K49" i="14"/>
  <c r="J49" i="14"/>
  <c r="I37" i="14"/>
  <c r="I40" i="14"/>
  <c r="K51" i="14"/>
  <c r="J51" i="14"/>
  <c r="I39" i="14"/>
  <c r="I35" i="14"/>
  <c r="I36" i="14"/>
  <c r="I32" i="14"/>
  <c r="I30" i="14"/>
  <c r="I31" i="14"/>
  <c r="I29" i="14"/>
  <c r="I23" i="14"/>
  <c r="I24" i="14"/>
  <c r="I25" i="14"/>
  <c r="I26" i="14"/>
  <c r="I22" i="14"/>
  <c r="I13" i="14"/>
  <c r="I14" i="14"/>
  <c r="I15" i="14"/>
  <c r="I16" i="14"/>
  <c r="I12" i="14"/>
  <c r="I10" i="14"/>
  <c r="I9" i="14"/>
  <c r="L57" i="12"/>
  <c r="L53" i="12"/>
  <c r="L54" i="12"/>
  <c r="L55" i="12"/>
  <c r="L52" i="12"/>
  <c r="L44" i="12"/>
  <c r="L45" i="12"/>
  <c r="L46" i="12"/>
  <c r="L43" i="12"/>
  <c r="L40" i="12"/>
  <c r="L39" i="12"/>
  <c r="L38" i="12"/>
  <c r="L36" i="12"/>
  <c r="L33" i="12"/>
  <c r="L34" i="12"/>
  <c r="L35" i="12"/>
  <c r="L32" i="12"/>
  <c r="L26" i="12"/>
  <c r="L25" i="12"/>
  <c r="O9" i="14" l="1"/>
  <c r="Q9" i="14" s="1"/>
  <c r="O10" i="14"/>
  <c r="Q10" i="14" s="1"/>
  <c r="O7" i="14"/>
  <c r="Q7" i="14" s="1"/>
  <c r="Q11" i="12"/>
  <c r="N20" i="15"/>
  <c r="L20" i="15" s="1"/>
  <c r="L28" i="12"/>
  <c r="L29" i="12"/>
  <c r="K64" i="13"/>
  <c r="K66" i="13"/>
  <c r="M67" i="13"/>
  <c r="M65" i="13"/>
  <c r="M63" i="13"/>
  <c r="K62" i="13"/>
  <c r="M28" i="13"/>
  <c r="M26" i="13"/>
  <c r="K26" i="13"/>
  <c r="M25" i="13"/>
  <c r="I25" i="13"/>
  <c r="K25" i="13"/>
  <c r="J19" i="14" l="1"/>
  <c r="K19" i="14"/>
  <c r="J20" i="14"/>
  <c r="K20" i="14"/>
  <c r="J21" i="14"/>
  <c r="K21" i="14"/>
  <c r="J22" i="14"/>
  <c r="K22" i="14"/>
  <c r="J23" i="14"/>
  <c r="K23" i="14"/>
  <c r="J24" i="14"/>
  <c r="K24" i="14"/>
  <c r="J11" i="14" l="1"/>
  <c r="K11" i="14" s="1"/>
  <c r="J7" i="14"/>
  <c r="K7" i="14" s="1"/>
  <c r="F45" i="19" l="1"/>
  <c r="H45" i="19"/>
  <c r="F46" i="19"/>
  <c r="G46" i="19"/>
  <c r="G47" i="19"/>
  <c r="G48" i="19"/>
  <c r="L15" i="16" l="1"/>
  <c r="K33" i="14" l="1"/>
  <c r="K38" i="14"/>
  <c r="K45" i="14"/>
  <c r="J33" i="14"/>
  <c r="J38" i="14"/>
  <c r="J45" i="14"/>
  <c r="J27" i="14"/>
  <c r="K27" i="14"/>
  <c r="J29" i="14"/>
  <c r="K29" i="14"/>
  <c r="L50" i="12"/>
  <c r="Q12" i="12" s="1"/>
  <c r="J31" i="19"/>
  <c r="H29" i="19"/>
  <c r="H25" i="19"/>
  <c r="H21" i="19"/>
  <c r="H13" i="19"/>
  <c r="H9" i="19"/>
  <c r="H5" i="19"/>
  <c r="I48" i="19"/>
  <c r="E48" i="19"/>
  <c r="K16" i="12" l="1"/>
  <c r="L16" i="12" s="1"/>
  <c r="H46" i="19"/>
  <c r="G45" i="19"/>
  <c r="H48" i="19"/>
  <c r="H47" i="19"/>
  <c r="I17" i="14"/>
  <c r="O8" i="14" s="1"/>
  <c r="Q8" i="14" s="1"/>
  <c r="I42" i="14" l="1"/>
  <c r="K44" i="13"/>
  <c r="H44" i="14" l="1"/>
  <c r="H14" i="18"/>
  <c r="B14" i="18"/>
  <c r="E14" i="18"/>
  <c r="L37" i="15"/>
  <c r="O9" i="15" s="1"/>
  <c r="Q9" i="15" s="1"/>
  <c r="J32" i="14" l="1"/>
  <c r="K32" i="14"/>
  <c r="L69" i="12" l="1"/>
  <c r="M7" i="13" l="1"/>
  <c r="M8" i="13"/>
  <c r="K7" i="13"/>
  <c r="K8" i="13"/>
  <c r="I7" i="13"/>
  <c r="I8" i="13"/>
  <c r="I60" i="13" l="1"/>
  <c r="I57" i="13"/>
  <c r="I54" i="13"/>
  <c r="I43" i="13" l="1"/>
  <c r="K47" i="19"/>
  <c r="I47" i="19"/>
  <c r="E47" i="19"/>
  <c r="J41" i="19"/>
  <c r="F41" i="19"/>
  <c r="J37" i="19"/>
  <c r="F37" i="19"/>
  <c r="E36" i="19"/>
  <c r="L31" i="19"/>
  <c r="F31" i="19"/>
  <c r="L29" i="19"/>
  <c r="J29" i="19"/>
  <c r="F29" i="19"/>
  <c r="L27" i="19"/>
  <c r="J27" i="19"/>
  <c r="K20" i="12" s="1"/>
  <c r="F27" i="19"/>
  <c r="L21" i="19"/>
  <c r="J21" i="19"/>
  <c r="F21" i="19"/>
  <c r="K12" i="12" s="1"/>
  <c r="L15" i="19"/>
  <c r="J15" i="19"/>
  <c r="F15" i="19"/>
  <c r="K9" i="16" s="1"/>
  <c r="L13" i="19"/>
  <c r="J13" i="19"/>
  <c r="F13" i="19"/>
  <c r="L11" i="19"/>
  <c r="J11" i="19"/>
  <c r="F11" i="19"/>
  <c r="L5" i="19"/>
  <c r="J5" i="19"/>
  <c r="F5" i="19"/>
  <c r="K11" i="16" s="1"/>
  <c r="K10" i="16" l="1"/>
  <c r="K10" i="12"/>
  <c r="K19" i="16"/>
  <c r="K18" i="12"/>
  <c r="L18" i="12" s="1"/>
  <c r="K15" i="12"/>
  <c r="K11" i="12"/>
  <c r="L11" i="12" s="1"/>
  <c r="K19" i="12"/>
  <c r="L19" i="12" s="1"/>
  <c r="K18" i="16"/>
  <c r="I46" i="19"/>
  <c r="K17" i="12" s="1"/>
  <c r="L20" i="12"/>
  <c r="F48" i="19"/>
  <c r="L12" i="12"/>
  <c r="F47" i="19"/>
  <c r="K45" i="19"/>
  <c r="K46" i="19"/>
  <c r="I45" i="19"/>
  <c r="E46" i="19"/>
  <c r="K9" i="12" s="1"/>
  <c r="E45" i="19"/>
  <c r="K8" i="12" s="1"/>
  <c r="K14" i="12" l="1"/>
  <c r="K13" i="12"/>
  <c r="L17" i="12"/>
  <c r="E49" i="19"/>
  <c r="L19" i="16"/>
  <c r="L18" i="16"/>
  <c r="L23" i="12"/>
  <c r="L11" i="16"/>
  <c r="K22" i="12" l="1"/>
  <c r="L22" i="12" s="1"/>
  <c r="Q9" i="12" s="1"/>
  <c r="R7" i="16"/>
  <c r="T7" i="16" s="1"/>
  <c r="K12" i="13"/>
  <c r="M12" i="13"/>
  <c r="I12" i="13"/>
  <c r="I13" i="13"/>
  <c r="K13" i="13"/>
  <c r="M13" i="13"/>
  <c r="I15" i="13"/>
  <c r="L15" i="12"/>
  <c r="L10" i="16"/>
  <c r="L9" i="16"/>
  <c r="L30" i="12"/>
  <c r="L27" i="12"/>
  <c r="Q10" i="12" s="1"/>
  <c r="R6" i="16" l="1"/>
  <c r="T6" i="16" s="1"/>
  <c r="L29" i="16"/>
  <c r="K31" i="16" s="1"/>
  <c r="I14" i="13"/>
  <c r="I17" i="13" s="1"/>
  <c r="K14" i="13"/>
  <c r="K17" i="13" s="1"/>
  <c r="M14" i="13"/>
  <c r="M15" i="13"/>
  <c r="K15" i="13"/>
  <c r="L14" i="12"/>
  <c r="L13" i="12"/>
  <c r="M17" i="13" l="1"/>
  <c r="L29" i="15"/>
  <c r="L28" i="15"/>
  <c r="L27" i="15"/>
  <c r="L14" i="15"/>
  <c r="L13" i="15"/>
  <c r="L12" i="15"/>
  <c r="L11" i="15"/>
  <c r="L10" i="15"/>
  <c r="L8" i="15"/>
  <c r="L7" i="15"/>
  <c r="O8" i="15" l="1"/>
  <c r="Q8" i="15" s="1"/>
  <c r="O7" i="15"/>
  <c r="Q7" i="15" s="1"/>
  <c r="B15" i="18"/>
  <c r="E15" i="18"/>
  <c r="H15" i="18"/>
  <c r="L39" i="15"/>
  <c r="K41" i="15" s="1"/>
  <c r="L8" i="12"/>
  <c r="L9" i="12"/>
  <c r="L10" i="12"/>
  <c r="L58" i="12"/>
  <c r="L59" i="12"/>
  <c r="L60" i="12"/>
  <c r="Q8" i="12" l="1"/>
  <c r="Q13" i="12"/>
  <c r="L71" i="12"/>
  <c r="K73" i="12" s="1"/>
  <c r="G15" i="18"/>
  <c r="A15" i="18"/>
  <c r="D15" i="18"/>
  <c r="K50" i="13"/>
  <c r="M50" i="13"/>
  <c r="I50" i="13"/>
  <c r="Q14" i="12" l="1"/>
  <c r="S8" i="12"/>
  <c r="S10" i="12"/>
  <c r="S12" i="12"/>
  <c r="S13" i="12"/>
  <c r="S11" i="12"/>
  <c r="S9" i="12"/>
  <c r="K47" i="14"/>
  <c r="J47" i="14"/>
  <c r="G14" i="18"/>
  <c r="D14" i="18"/>
  <c r="K69" i="13"/>
  <c r="M69" i="13"/>
  <c r="I69" i="13"/>
  <c r="M61" i="13"/>
  <c r="K61" i="13"/>
  <c r="M58" i="13"/>
  <c r="K58" i="13"/>
  <c r="M55" i="13"/>
  <c r="K55" i="13"/>
  <c r="K52" i="13"/>
  <c r="M52" i="13"/>
  <c r="I52" i="13"/>
  <c r="A14" i="18" l="1"/>
  <c r="K49" i="13"/>
  <c r="M49" i="13"/>
  <c r="I49" i="13"/>
  <c r="K48" i="13"/>
  <c r="M48" i="13"/>
  <c r="I48" i="13"/>
  <c r="K47" i="13"/>
  <c r="K71" i="13" s="1"/>
  <c r="M47" i="13"/>
  <c r="I47" i="13"/>
  <c r="I71" i="13" s="1"/>
  <c r="M45" i="13"/>
  <c r="K36" i="13"/>
  <c r="M36" i="13"/>
  <c r="I36" i="13"/>
  <c r="K35" i="13"/>
  <c r="M35" i="13"/>
  <c r="I35" i="13"/>
  <c r="K34" i="13"/>
  <c r="M34" i="13"/>
  <c r="I34" i="13"/>
  <c r="M71" i="13" l="1"/>
  <c r="J71" i="13"/>
  <c r="I38" i="13"/>
  <c r="J38" i="13" s="1"/>
  <c r="K24" i="13"/>
  <c r="M24" i="13"/>
  <c r="M23" i="13"/>
  <c r="K23" i="13"/>
  <c r="M22" i="13"/>
  <c r="K22" i="13"/>
  <c r="M21" i="13"/>
  <c r="K21" i="13"/>
  <c r="I21" i="13"/>
  <c r="I30" i="13" l="1"/>
  <c r="J30" i="13" s="1"/>
  <c r="K30" i="13"/>
  <c r="L30" i="13" s="1"/>
  <c r="M30" i="13"/>
  <c r="N72" i="13"/>
  <c r="Q12" i="13"/>
  <c r="L71" i="13"/>
  <c r="K38" i="13"/>
  <c r="L38" i="13" s="1"/>
  <c r="M38" i="13"/>
  <c r="N31" i="13" l="1"/>
  <c r="Q10" i="13"/>
  <c r="N39" i="13"/>
  <c r="Q11" i="13"/>
  <c r="N18" i="13" l="1"/>
  <c r="M73" i="13" s="1"/>
  <c r="G7" i="18" s="1"/>
  <c r="Q8" i="13"/>
  <c r="L17" i="13"/>
  <c r="K73" i="13" s="1"/>
  <c r="D7" i="18" s="1"/>
  <c r="J17" i="13"/>
  <c r="I73" i="13" l="1"/>
  <c r="A7" i="18" s="1"/>
</calcChain>
</file>

<file path=xl/comments1.xml><?xml version="1.0" encoding="utf-8"?>
<comments xmlns="http://schemas.openxmlformats.org/spreadsheetml/2006/main">
  <authors>
    <author>GRIMAULT Sylvain</author>
  </authors>
  <commentList>
    <comment ref="L25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1 pt pour un seul critère, 1,5 pts pour deux critères, 2 pts pour 3 critères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Après évaluation du dossier joint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0 à 4 pts après visite du site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0 à 4 pts après visite du site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0 à 4 pts après visite du site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0 à 5 pts après visite du site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0 à 3 pts après visite du site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0 à 3 pts après visite du site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0 à 3 pts après visite du site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0 à 4 pts après visite du site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0 à 3 pts après visite du site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>0 à 4 pts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0 à 6 pts sur dossier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0 à 3 pts après visite du site</t>
        </r>
      </text>
    </comment>
  </commentList>
</comments>
</file>

<file path=xl/comments2.xml><?xml version="1.0" encoding="utf-8"?>
<comments xmlns="http://schemas.openxmlformats.org/spreadsheetml/2006/main">
  <authors>
    <author>GRIMAULT Sylvain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0 à 10 pts selon l'évaluation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0 à 10 pts selon l'évaluation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0 à 10 pts selon l'évaluation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0 à 10 pts selon l'évaluation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0 à 3 pts selon l'évaluation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0 à 3 pts selon l'évaluation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0 à 3 pts selon l'évaluation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0 à 3 pts selon l'évaluation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Selon l'évaluation de l'action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Selon l'évaluation de l'action</t>
        </r>
      </text>
    </comment>
  </commentList>
</comments>
</file>

<file path=xl/comments3.xml><?xml version="1.0" encoding="utf-8"?>
<comments xmlns="http://schemas.openxmlformats.org/spreadsheetml/2006/main">
  <authors>
    <author>GRIMAULT Sylvain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Après vérification sur site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Après vérification des documents fournis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0 à 4 pts après visite du site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0 à 4 pts après visite du site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selon l'évaluation du document fourni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selon l'évaluation du document fourni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selon l'évaluation du document fourni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selon l'évaluation du document fourni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selon l'évaluation du document fourni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selon l'évaluation du document fourni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0 à 5 pts selon l'évaluation des documents fournis</t>
        </r>
      </text>
    </comment>
  </commentList>
</comments>
</file>

<file path=xl/comments4.xml><?xml version="1.0" encoding="utf-8"?>
<comments xmlns="http://schemas.openxmlformats.org/spreadsheetml/2006/main">
  <authors>
    <author>GRIMAULT Sylvain</author>
  </authors>
  <commentList>
    <comment ref="L17" authorId="0" shapeId="0">
      <text>
        <r>
          <rPr>
            <b/>
            <sz val="9"/>
            <color indexed="81"/>
            <rFont val="Tahoma"/>
            <family val="2"/>
          </rPr>
          <t>0 à 6 pts sur dossier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0 à 6 pts sur dossier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0 à 10 pts selon l'évaluation du tableau dédié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0 à 6 pts sur dossier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0 à 10 pts selon l'évaluation du tableau dédié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0 à 6 pts sur dossier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0 à 10 pts selon l'évaluation du tableau dédié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0 à 6 pts sur dossier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0 à 10 pts selon l'évaluation du tableau dédié</t>
        </r>
      </text>
    </comment>
  </commentList>
</comments>
</file>

<file path=xl/sharedStrings.xml><?xml version="1.0" encoding="utf-8"?>
<sst xmlns="http://schemas.openxmlformats.org/spreadsheetml/2006/main" count="582" uniqueCount="471">
  <si>
    <t>CRITERES INCONTOURNABLES</t>
  </si>
  <si>
    <t>TOTAL POINTS</t>
  </si>
  <si>
    <t>Formalisation d'un plan de formation de l'encadrement</t>
  </si>
  <si>
    <t>CRITERES CUMULABLES</t>
  </si>
  <si>
    <t>Evaluation du plan de formation des dirigeants</t>
  </si>
  <si>
    <t>Evaluation du plan de formation des éducateurs</t>
  </si>
  <si>
    <t>Evaluation du plan de formation des arbitres</t>
  </si>
  <si>
    <t>Résultat</t>
  </si>
  <si>
    <t>Points</t>
  </si>
  <si>
    <t>N° critère</t>
  </si>
  <si>
    <t>Evaluation des critères incontournables</t>
  </si>
  <si>
    <t>O/N</t>
  </si>
  <si>
    <t>Nombre</t>
  </si>
  <si>
    <r>
      <rPr>
        <b/>
        <u/>
        <sz val="10"/>
        <rFont val="Arial"/>
        <family val="2"/>
      </rPr>
      <t>PROJET SPORTIF</t>
    </r>
    <r>
      <rPr>
        <b/>
        <sz val="10"/>
        <rFont val="Arial"/>
        <family val="2"/>
      </rPr>
      <t xml:space="preserve"> :</t>
    </r>
  </si>
  <si>
    <r>
      <rPr>
        <b/>
        <u/>
        <sz val="10"/>
        <rFont val="Arial"/>
        <family val="2"/>
      </rPr>
      <t>PROJET EDUCATIF</t>
    </r>
    <r>
      <rPr>
        <b/>
        <sz val="10"/>
        <rFont val="Arial"/>
        <family val="2"/>
      </rPr>
      <t xml:space="preserve"> :</t>
    </r>
  </si>
  <si>
    <r>
      <rPr>
        <b/>
        <u/>
        <sz val="10"/>
        <color theme="0"/>
        <rFont val="Arial"/>
        <family val="2"/>
      </rPr>
      <t>PROJET ASSOCIATIF</t>
    </r>
    <r>
      <rPr>
        <b/>
        <sz val="10"/>
        <color theme="0"/>
        <rFont val="Arial"/>
        <family val="2"/>
      </rPr>
      <t xml:space="preserve"> :</t>
    </r>
  </si>
  <si>
    <r>
      <rPr>
        <b/>
        <u/>
        <sz val="10"/>
        <color theme="0"/>
        <rFont val="Arial"/>
        <family val="2"/>
      </rPr>
      <t>PROJET DE FORMATION DE L'ENCADREMENT</t>
    </r>
    <r>
      <rPr>
        <b/>
        <sz val="10"/>
        <color theme="0"/>
        <rFont val="Arial"/>
        <family val="2"/>
      </rPr>
      <t xml:space="preserve"> :</t>
    </r>
  </si>
  <si>
    <t>CFF1 ou CFF2 minimum</t>
  </si>
  <si>
    <t>BMF minimum</t>
  </si>
  <si>
    <t>BEF minimum</t>
  </si>
  <si>
    <t>par 1 module attesté</t>
  </si>
  <si>
    <t xml:space="preserve">par 1 CFF </t>
  </si>
  <si>
    <t>Niveau Espoir</t>
  </si>
  <si>
    <t>Niveau Excellence</t>
  </si>
  <si>
    <t>Niveau Elite</t>
  </si>
  <si>
    <t>Statut du projet</t>
  </si>
  <si>
    <t>Utilisation par le club de buts fixés au sol</t>
  </si>
  <si>
    <t>Responsable jeunes certifié identifié</t>
  </si>
  <si>
    <t>Référent arbitre identifié</t>
  </si>
  <si>
    <t>Référent sécurité identifié</t>
  </si>
  <si>
    <t>Référent football féminin identifié</t>
  </si>
  <si>
    <t>Equipes engagées dans les rencontres U6F-U9F</t>
  </si>
  <si>
    <t>Equipes engagées dans les rencontres U10F-U13F</t>
  </si>
  <si>
    <t>Equipes à 11 ou à effectif réduit engagées dans les rencontres</t>
  </si>
  <si>
    <t>U14F-U19F (entente possible avec au moins 50% des effectifs)</t>
  </si>
  <si>
    <t>O/N/</t>
  </si>
  <si>
    <t>NIVEAU DE LABEL</t>
  </si>
  <si>
    <r>
      <rPr>
        <b/>
        <u/>
        <sz val="10"/>
        <rFont val="Arial"/>
        <family val="2"/>
      </rPr>
      <t xml:space="preserve">PROJET EDUCATIF </t>
    </r>
    <r>
      <rPr>
        <b/>
        <sz val="10"/>
        <rFont val="Arial"/>
        <family val="2"/>
      </rPr>
      <t>:</t>
    </r>
  </si>
  <si>
    <t>% d'éducateurs actifs</t>
  </si>
  <si>
    <t>Description d'une action répondant au thème SANTE</t>
  </si>
  <si>
    <t>Description d'une action répondant au thème ENGAGEMENT CITOYEN</t>
  </si>
  <si>
    <t>Description d'une action répondant au thème CULTURE FOOT</t>
  </si>
  <si>
    <t>Description d'une action répondant au thème ARBITRAGE ET LOIS DU JEU</t>
  </si>
  <si>
    <t>Description d'une action répondant au thème ENVIRONNEMENT</t>
  </si>
  <si>
    <t>Description d'une action répondant au thème FAIR PLAY</t>
  </si>
  <si>
    <t>PROJET VALIDE</t>
  </si>
  <si>
    <t>Evaluation des critères cumulables sur la base de 100 points maximum</t>
  </si>
  <si>
    <t>Evaluation des critères cumulables sur la base de 100 points maximum (dont bonus de 6 points)</t>
  </si>
  <si>
    <t>Evaluation finale du dossier</t>
  </si>
  <si>
    <t>Niveau "Espoir"</t>
  </si>
  <si>
    <t>Niveau "Excellence"</t>
  </si>
  <si>
    <t>Niveau "Elite"</t>
  </si>
  <si>
    <t>NIVEAU DE LABEL MAXIMUM</t>
  </si>
  <si>
    <t>Numéro de club</t>
  </si>
  <si>
    <t>Nom du club</t>
  </si>
  <si>
    <t>Ordre des catégories</t>
  </si>
  <si>
    <t>Libellé sous catégorie</t>
  </si>
  <si>
    <t>Nombre total</t>
  </si>
  <si>
    <t>Nombre de renouvellements</t>
  </si>
  <si>
    <t>Nombre de mutations</t>
  </si>
  <si>
    <t>Nombre de nouvelles</t>
  </si>
  <si>
    <t>Senior</t>
  </si>
  <si>
    <t>Senior U20 (- 20 ans)</t>
  </si>
  <si>
    <t>Vétéran</t>
  </si>
  <si>
    <t>U18 (- 18 ans)</t>
  </si>
  <si>
    <t>U19 (- 19 ans)</t>
  </si>
  <si>
    <t>U16 (- 16 ans)</t>
  </si>
  <si>
    <t>U17 (- 17 ans)</t>
  </si>
  <si>
    <t>U14 (- 14 ans)</t>
  </si>
  <si>
    <t>U15 (- 15 ans)</t>
  </si>
  <si>
    <t>U12 (- 12 ans)</t>
  </si>
  <si>
    <t>U10 (- 10 ans)</t>
  </si>
  <si>
    <t>U11 (- 11 ans)</t>
  </si>
  <si>
    <t>U6 (- 6 ans)</t>
  </si>
  <si>
    <t>U7 (- 7 ans)</t>
  </si>
  <si>
    <t>U8 (- 8 ans)</t>
  </si>
  <si>
    <t>U9 (- 9 ans)</t>
  </si>
  <si>
    <t>Senior F</t>
  </si>
  <si>
    <t>Senior U20 F (- 20 ans F)</t>
  </si>
  <si>
    <t>U17 F (- 17 ans F)</t>
  </si>
  <si>
    <t>U18 F (- 18 ans F)</t>
  </si>
  <si>
    <t>U14 F (- 14 ans F)</t>
  </si>
  <si>
    <t>U15 F (- 15 ans F)</t>
  </si>
  <si>
    <t>U12 F (- 12 ans F)</t>
  </si>
  <si>
    <t>U13 F (- 13 ans F)</t>
  </si>
  <si>
    <t>U11 F (- 11 ans F)</t>
  </si>
  <si>
    <t>U7 F (- 7 ans F)</t>
  </si>
  <si>
    <t>Dirigeant</t>
  </si>
  <si>
    <t>Dirigeante</t>
  </si>
  <si>
    <t>Arbitre</t>
  </si>
  <si>
    <t>Jeune arbitre</t>
  </si>
  <si>
    <t>Educateur Fédéral</t>
  </si>
  <si>
    <t>U13 (- 13 ans)</t>
  </si>
  <si>
    <t>U16 F (- 16 ans F)</t>
  </si>
  <si>
    <t>U6 F (- 6 ans F)</t>
  </si>
  <si>
    <t>U8 F (- 8 ans F)</t>
  </si>
  <si>
    <t>U9 F (- 9 ans F)</t>
  </si>
  <si>
    <t>U10 F (- 10 ans F)</t>
  </si>
  <si>
    <t>U19 F (- 19 ans F)</t>
  </si>
  <si>
    <t>TOTAL Pratiquants</t>
  </si>
  <si>
    <t>Technique Régional</t>
  </si>
  <si>
    <t>Technique National</t>
  </si>
  <si>
    <t>Total U12-U15 G et F</t>
  </si>
  <si>
    <t>Total U16-U19 G et F</t>
  </si>
  <si>
    <t>Total U6-U11 G et F</t>
  </si>
  <si>
    <t>Total</t>
  </si>
  <si>
    <t>Catégories</t>
  </si>
  <si>
    <t>Nbe éducateurs</t>
  </si>
  <si>
    <t>U6-U9</t>
  </si>
  <si>
    <t>U10-U13</t>
  </si>
  <si>
    <t>U14-U19</t>
  </si>
  <si>
    <t>Communication</t>
  </si>
  <si>
    <t>Participation aux actions fédérales</t>
  </si>
  <si>
    <t>Projet Associatif</t>
  </si>
  <si>
    <t>Projet Sportif</t>
  </si>
  <si>
    <t>Projet Educatif</t>
  </si>
  <si>
    <t>Projet de formation</t>
  </si>
  <si>
    <t>Critères : Méthodes pédagogiques</t>
  </si>
  <si>
    <t>Critères : Participation aux actions fédérales</t>
  </si>
  <si>
    <t>Méthodes pédagogiques</t>
  </si>
  <si>
    <t>Critères : Communication</t>
  </si>
  <si>
    <t>Nombre de pratiquantes licenciées U14F-U19F (tranches &gt;6/&gt;9/&gt;12)</t>
  </si>
  <si>
    <t>Nombre d'équipes engagées dans les catégories U14F-U19F (1 = 2pts, 2 = 3pts, 3 ou + = 6 pts)</t>
  </si>
  <si>
    <t>Total U7-U11 G et F</t>
  </si>
  <si>
    <t>Nombre total N-1</t>
  </si>
  <si>
    <t>PA201</t>
  </si>
  <si>
    <t>PA202</t>
  </si>
  <si>
    <t>PA301</t>
  </si>
  <si>
    <t>PA 302</t>
  </si>
  <si>
    <t>PA303</t>
  </si>
  <si>
    <t>PA304</t>
  </si>
  <si>
    <t>Effectifs pratiquants licenciés U6-U9 et U6F-U9F</t>
  </si>
  <si>
    <t>Effectifs pratiquants licenciés U10-U11 et 10F-U11F</t>
  </si>
  <si>
    <t>Effectifs pratiquants licenciés U12-U13 et 12F-U13F</t>
  </si>
  <si>
    <t>Effectifs pratiquants licenciés U14-U19 et U14F-U19F</t>
  </si>
  <si>
    <t>PF201</t>
  </si>
  <si>
    <t>PF202</t>
  </si>
  <si>
    <t>PF203</t>
  </si>
  <si>
    <t>PF204</t>
  </si>
  <si>
    <t>PF205</t>
  </si>
  <si>
    <t>PF206</t>
  </si>
  <si>
    <t>PF207</t>
  </si>
  <si>
    <t>PF208</t>
  </si>
  <si>
    <t>Equipes engagées en U12-U13</t>
  </si>
  <si>
    <t>Equipes à 11 engagées en U14-U15</t>
  </si>
  <si>
    <t>Equipes à 11 engagées en U16-U17</t>
  </si>
  <si>
    <t>Equipes à 11 engagées en U18-U19</t>
  </si>
  <si>
    <t>PE201</t>
  </si>
  <si>
    <t>PE202</t>
  </si>
  <si>
    <t>PE203</t>
  </si>
  <si>
    <t>PF209</t>
  </si>
  <si>
    <t>PF210</t>
  </si>
  <si>
    <t>PF211</t>
  </si>
  <si>
    <t>Responsable de la catégorie U8-U9</t>
  </si>
  <si>
    <t>Responsable de la catégorie U10-U11</t>
  </si>
  <si>
    <t>Responsable de la catégorie U14-U15 par 1 CFF</t>
  </si>
  <si>
    <t>Responsable de la catégorie U16-U17 par 1 CFF</t>
  </si>
  <si>
    <t>Responsable de la catégorie U18-U19 par 1 CFF</t>
  </si>
  <si>
    <t>par 1 CFF ou plus</t>
  </si>
  <si>
    <t>par 1 BMF ou plus</t>
  </si>
  <si>
    <t>PF 301</t>
  </si>
  <si>
    <t>Encadrement de la catégorie U6-U7 par un module attesté ou BMF</t>
  </si>
  <si>
    <t>Responsable de la catégorie U12-U13</t>
  </si>
  <si>
    <t>PA401</t>
  </si>
  <si>
    <t>PA402</t>
  </si>
  <si>
    <t>PA403</t>
  </si>
  <si>
    <t>PA404</t>
  </si>
  <si>
    <t>PA405</t>
  </si>
  <si>
    <t>PA406</t>
  </si>
  <si>
    <t>PA407</t>
  </si>
  <si>
    <t>PA408</t>
  </si>
  <si>
    <t>PA409</t>
  </si>
  <si>
    <t>PA410</t>
  </si>
  <si>
    <t>PA411</t>
  </si>
  <si>
    <t>PA412</t>
  </si>
  <si>
    <t>PA413</t>
  </si>
  <si>
    <t>PA501</t>
  </si>
  <si>
    <t>PA502</t>
  </si>
  <si>
    <t>PA601</t>
  </si>
  <si>
    <t>PA602</t>
  </si>
  <si>
    <t>PA603</t>
  </si>
  <si>
    <t>PA604</t>
  </si>
  <si>
    <t>PA605</t>
  </si>
  <si>
    <t>PA701</t>
  </si>
  <si>
    <t>PA702</t>
  </si>
  <si>
    <t>PA703</t>
  </si>
  <si>
    <t>PA704</t>
  </si>
  <si>
    <t>PA705</t>
  </si>
  <si>
    <t>PA706</t>
  </si>
  <si>
    <t>PA707</t>
  </si>
  <si>
    <t>PA708</t>
  </si>
  <si>
    <t>PA709</t>
  </si>
  <si>
    <t>PA710</t>
  </si>
  <si>
    <t>PA711</t>
  </si>
  <si>
    <t xml:space="preserve">Matériel en quantité suffisante pour chaque groupe d'entraînement : </t>
  </si>
  <si>
    <t>Critères : Qualité des installations et des équipements</t>
  </si>
  <si>
    <t xml:space="preserve">Critères : Effectifs dirigeants </t>
  </si>
  <si>
    <t>Critères : Sécurité oprérationnelle</t>
  </si>
  <si>
    <t>Critères : Actions de promotion et de recrutement</t>
  </si>
  <si>
    <t>PA801</t>
  </si>
  <si>
    <t>Critères : Animation du club</t>
  </si>
  <si>
    <t>PA802</t>
  </si>
  <si>
    <t>PA803</t>
  </si>
  <si>
    <t>PA804</t>
  </si>
  <si>
    <t>PA901</t>
  </si>
  <si>
    <t>PA902</t>
  </si>
  <si>
    <t>PA903</t>
  </si>
  <si>
    <t>PA904</t>
  </si>
  <si>
    <t>PA905</t>
  </si>
  <si>
    <t>PA906</t>
  </si>
  <si>
    <t>Action en direction de publics handicapés</t>
  </si>
  <si>
    <t>PA907</t>
  </si>
  <si>
    <t>% de licenciés U6–U11 M et F / total des pratiquants libres  (tranches &gt;25%/&gt;30%/&gt;35%)</t>
  </si>
  <si>
    <t>% de licenciés U12- U15 M et F / total des pratiquants  libres (tranches &gt;20%/&gt;25%/&gt;30%)</t>
  </si>
  <si>
    <t>% de licenciés U16-U19 M et F / total des pratiquants  libres (tranches &gt;25%/&gt;20%/&gt;15%)</t>
  </si>
  <si>
    <t>% de pratiquantes U6F-U13F / pratiquants U6-U13 G (tranches &gt;5%/&gt;7%/&gt;10%)</t>
  </si>
  <si>
    <t>% de mutations / effectifs U6 – U11 M et F (tranches -10%/-8%/-5%)</t>
  </si>
  <si>
    <t>% de mutations / effectifs U12 – U15 M et F (tranches -15%/-10%/-5%)</t>
  </si>
  <si>
    <t>% de mutations / effectifs U16-U19 M et F (tranches -20%/-15%/-10%)</t>
  </si>
  <si>
    <t>% de licenciés fidélisés U7-U10 M et F (N-1/N, tranches &gt;50% / &gt;60% /&gt;70%)</t>
  </si>
  <si>
    <t>% de licenciés fidélisés U11-U14 M et F (N-1/N, tranches &gt;60% / &gt;70% /&gt;80%)</t>
  </si>
  <si>
    <t>% de licenciés fidélisés U15-U18 M et F (N-1/N, tranches &gt;60% / &gt;70% /&gt;80%)</t>
  </si>
  <si>
    <t>% de licenciées fidélisées U6F-U10F (N-1/N, tranches &gt;50% / &gt;60% /&gt;70%)</t>
  </si>
  <si>
    <t>% de licenciées fidélisées U11F-U18F (N-1/N, tranches &gt;60% / &gt;70% /&gt;80%)</t>
  </si>
  <si>
    <t>Critères : Effectifs jeunes</t>
  </si>
  <si>
    <r>
      <t xml:space="preserve">% de dirigeants licenciés  (+ éducateurs et arbitres)/ nombre de pratiquants U6-U19 </t>
    </r>
    <r>
      <rPr>
        <b/>
        <sz val="9"/>
        <color theme="0"/>
        <rFont val="Arial"/>
        <family val="2"/>
      </rPr>
      <t>(tranches &gt;=12%/&gt;=15%&gt;=18%)</t>
    </r>
  </si>
  <si>
    <r>
      <t>% de femmes dirigeantes</t>
    </r>
    <r>
      <rPr>
        <b/>
        <sz val="8"/>
        <color theme="0"/>
        <rFont val="Arial"/>
        <family val="2"/>
      </rPr>
      <t xml:space="preserve"> (+ éducatrices et arbitres)</t>
    </r>
    <r>
      <rPr>
        <b/>
        <sz val="10"/>
        <color theme="0"/>
        <rFont val="Arial"/>
        <family val="2"/>
      </rPr>
      <t xml:space="preserve"> / nombre de dirigeants</t>
    </r>
    <r>
      <rPr>
        <b/>
        <sz val="8"/>
        <color theme="0"/>
        <rFont val="Arial"/>
        <family val="2"/>
      </rPr>
      <t xml:space="preserve"> (+ éducateurs et arbitres)(tranches &gt;10/&gt;15/&gt;20) tranches (&gt;8/&gt;10/&gt;12)</t>
    </r>
    <r>
      <rPr>
        <b/>
        <sz val="10"/>
        <color theme="0"/>
        <rFont val="Arial"/>
        <family val="2"/>
      </rPr>
      <t xml:space="preserve"> </t>
    </r>
  </si>
  <si>
    <t>Présence d'un téléphone accessible (oui = 2pts)</t>
  </si>
  <si>
    <t xml:space="preserve">Présence d'une trousse à pharmacie 1er secours de terrain à usage grand public (oui = 1,5pts) </t>
  </si>
  <si>
    <t>Défibrillateur cardiaque (contrat de maintenance à jour) disponible à proximité des terrains (oui=2pts)</t>
  </si>
  <si>
    <t>Présence d'une civière à proximité des terrains (oui = 0,5pt)</t>
  </si>
  <si>
    <t>Présence d'une paire de béquilles à proximité des terrains (oui = 0,5pt)</t>
  </si>
  <si>
    <r>
      <t>Organisation des déplacements des enfants</t>
    </r>
    <r>
      <rPr>
        <b/>
        <sz val="8"/>
        <color theme="0"/>
        <rFont val="Arial"/>
        <family val="2"/>
      </rPr>
      <t xml:space="preserve"> (rdv sécurisés, organisation des transports, référent transport)</t>
    </r>
    <r>
      <rPr>
        <b/>
        <sz val="10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(oui = 2pts)</t>
    </r>
  </si>
  <si>
    <t>Nombre de vestiaire suffisant ? (Oui 1pt)</t>
  </si>
  <si>
    <t>Douches de bonne qualité ? (Oui 1pt)</t>
  </si>
  <si>
    <t>Les vestiaires sont ils propres ? (Oui 1pt)</t>
  </si>
  <si>
    <t>Le chauffage fonctionne-t-il ? (Oui 1pt)</t>
  </si>
  <si>
    <t>Présence de vestiaires dédiées aux femmes (oui = 1pt)</t>
  </si>
  <si>
    <t>Bon = 2pts</t>
  </si>
  <si>
    <t>Mauvais = 0 pt</t>
  </si>
  <si>
    <t xml:space="preserve">Qualité des terrains utilisés par le club, qualité du revêtement : </t>
  </si>
  <si>
    <t xml:space="preserve">Très bon = 3pts </t>
  </si>
  <si>
    <t>L'éclairage est-il de bonne qualité ? (Oui 2pts)</t>
  </si>
  <si>
    <t>Disponibilité des terrains un 1/2 terrain par groupe d'entraînement (max. 16j) pour le foot animation (oui 1,5pts)</t>
  </si>
  <si>
    <t>Disponibilité des terrains un terrain par groupe d'entraînement (max 16j) pourles jeunes (oui 1,5pts)</t>
  </si>
  <si>
    <t>plusieurs fois par semaine (3 pts)</t>
  </si>
  <si>
    <t>1 créneau hebdo (2pts)</t>
  </si>
  <si>
    <t xml:space="preserve">Ponctuelle (1pt) </t>
  </si>
  <si>
    <t>Jamais (0pt)</t>
  </si>
  <si>
    <t>Fréquence d'utilisation d'un gymnase  :</t>
  </si>
  <si>
    <t>1 ballon par joueur (1pt)</t>
  </si>
  <si>
    <t>1 chasuble par joueur  (1pt)</t>
  </si>
  <si>
    <t>1 jeu de coupelles  (1pt)</t>
  </si>
  <si>
    <t>Conditions de rangement) 1 pts par "matériel" (1pt)</t>
  </si>
  <si>
    <t xml:space="preserve">Actions à l’école élémentaire </t>
  </si>
  <si>
    <t>Ponctuel (1pt)</t>
  </si>
  <si>
    <t>1 cycle (3 pts)</t>
  </si>
  <si>
    <t>Opération Foot à l'école (5 pts )</t>
  </si>
  <si>
    <t>Périscolaire ou TAP (2 pts)</t>
  </si>
  <si>
    <t xml:space="preserve">Journées portes ouvertes </t>
  </si>
  <si>
    <t xml:space="preserve">1 action (2 pts) </t>
  </si>
  <si>
    <t>2 actions ou plus (4 pts)</t>
  </si>
  <si>
    <t>Participation à la Semaine du Football Féminin (oui 2pts)</t>
  </si>
  <si>
    <t xml:space="preserve">Outils de communications </t>
  </si>
  <si>
    <t xml:space="preserve">Plaquette (1pt) </t>
  </si>
  <si>
    <t xml:space="preserve">Réseaux sociaux (1pt) </t>
  </si>
  <si>
    <t xml:space="preserve">Journal du club (1pt) </t>
  </si>
  <si>
    <t>Site internet (1 pt)</t>
  </si>
  <si>
    <t>Utilisation d'une salle de convivialité (oui = 2pts)</t>
  </si>
  <si>
    <t>Existence  d'une salle de convivialité  (oui = 2 pts)</t>
  </si>
  <si>
    <t>Nombre d'opérations festives (1 action = 2pts; 2 actions = 4pts)</t>
  </si>
  <si>
    <t>Initiatives en faveurf des jeunes</t>
  </si>
  <si>
    <t xml:space="preserve">Stages (2pts) </t>
  </si>
  <si>
    <t>Accompagnement scolaire (2pts)</t>
  </si>
  <si>
    <t>Garderie (2pts)</t>
  </si>
  <si>
    <t>Conseil de jeunes (2pts)</t>
  </si>
  <si>
    <t>Autre (2pts)</t>
  </si>
  <si>
    <t>Voyages (2pts)</t>
  </si>
  <si>
    <t>Nombre d'actions d’intégration des parents (1 action = 2pts; 2 actions = 4pts)</t>
  </si>
  <si>
    <t>Aucune action (0pt)</t>
  </si>
  <si>
    <t>Accueil (0,5pt)</t>
  </si>
  <si>
    <t>Action/opération (1pt)</t>
  </si>
  <si>
    <t>Section (1,5pts)</t>
  </si>
  <si>
    <t>Représentation régulière du club aux réunions organisées par les instances fédérales (oui = 2pts)</t>
  </si>
  <si>
    <r>
      <rPr>
        <b/>
        <i/>
        <u/>
        <sz val="10"/>
        <color theme="0"/>
        <rFont val="Arial"/>
        <family val="2"/>
      </rPr>
      <t>Rappel</t>
    </r>
    <r>
      <rPr>
        <b/>
        <i/>
        <sz val="10"/>
        <color theme="0"/>
        <rFont val="Arial"/>
        <family val="2"/>
      </rPr>
      <t xml:space="preserve"> : Niveau "Espoir" = 40 pts minimum - "Excellence" = 50 pts minimum - "Elite" = 60 points minimum</t>
    </r>
  </si>
  <si>
    <t>Critères : Organisation technique</t>
  </si>
  <si>
    <t>Le club a-t-il défini une programmation annuelle de formation pour ses catégories de jeunes ?</t>
  </si>
  <si>
    <t>Aucun (0pt)</t>
  </si>
  <si>
    <t>Oui/Non</t>
  </si>
  <si>
    <t>PS301</t>
  </si>
  <si>
    <t>PS302</t>
  </si>
  <si>
    <t>Le club a-t-il formalisé un contenu d'entrainement adapté pour toutes les catégories de jeunes ?</t>
  </si>
  <si>
    <t>PS303</t>
  </si>
  <si>
    <t>PS304</t>
  </si>
  <si>
    <r>
      <t xml:space="preserve">Combien de réunions techniques ont-elles été programées ? </t>
    </r>
    <r>
      <rPr>
        <b/>
        <sz val="8"/>
        <rFont val="Arial"/>
        <family val="2"/>
      </rPr>
      <t>(1pt par réunion max 5pts)</t>
    </r>
  </si>
  <si>
    <r>
      <t xml:space="preserve">Combien de réunions de coordination sportive de l'équipe technique ont-elles été programées ? </t>
    </r>
    <r>
      <rPr>
        <b/>
        <sz val="8"/>
        <rFont val="Arial"/>
        <family val="2"/>
      </rPr>
      <t>(1pt par réunion max 5pts)</t>
    </r>
  </si>
  <si>
    <t>Très insatisfaisant</t>
  </si>
  <si>
    <t>Insatifaisant</t>
  </si>
  <si>
    <t>Peu satifaisant</t>
  </si>
  <si>
    <t>Moyennement satifaisant</t>
  </si>
  <si>
    <t>Satifaisant</t>
  </si>
  <si>
    <t>Très satifaisant</t>
  </si>
  <si>
    <t>Organisation matérielle en amont (sur 5 pts)</t>
  </si>
  <si>
    <t>Adaptation des contenus à l'age (sur 5 pts)</t>
  </si>
  <si>
    <t>Climat d'apprentissage,  méthodes pédagogiques  (sur 5 pts)</t>
  </si>
  <si>
    <t>Activité de l'enfant  (sur 5 pts)</t>
  </si>
  <si>
    <t>Plaisir de l'enfant  (sur 5 pts)</t>
  </si>
  <si>
    <t>Evaluation</t>
  </si>
  <si>
    <t>PS401</t>
  </si>
  <si>
    <t>PS402</t>
  </si>
  <si>
    <t>PS403</t>
  </si>
  <si>
    <t>PS404</t>
  </si>
  <si>
    <t>PS405</t>
  </si>
  <si>
    <t>PS501</t>
  </si>
  <si>
    <t>PS502</t>
  </si>
  <si>
    <t>PS503</t>
  </si>
  <si>
    <t>PS504</t>
  </si>
  <si>
    <t>PS505</t>
  </si>
  <si>
    <t>PS506</t>
  </si>
  <si>
    <t>Participation à la Rentrée du Foot  (Oui=3pts)</t>
  </si>
  <si>
    <t>Participation à la Journée Nationale (Oui=3pts)</t>
  </si>
  <si>
    <t>Participation au Festival Football U13  (Oui=3pts)</t>
  </si>
  <si>
    <t>Nombre moyen de séances d'entraînements hebdomadaires des équipes 1 des catégories U12-U19</t>
  </si>
  <si>
    <t>PS507</t>
  </si>
  <si>
    <t>Aucune (0pt)</t>
  </si>
  <si>
    <t>PS508</t>
  </si>
  <si>
    <t>Le club organise une séance hebdomadaire de perfectionnement de gardien de but?</t>
  </si>
  <si>
    <t>PS509</t>
  </si>
  <si>
    <t xml:space="preserve"> Participations régulière aux détections (oui = 3pts)</t>
  </si>
  <si>
    <t>PS510</t>
  </si>
  <si>
    <t>Le club est-il rattaché à une section sportive du premier ou second cycle  :</t>
  </si>
  <si>
    <t>Envoi de joueurs dans une section sportive(oui = 2pts )</t>
  </si>
  <si>
    <t>Club support d'une section sportive (Oui = 4pts)</t>
  </si>
  <si>
    <t>Nombre de plateaux féminins U6F-U13F organisés par le district auxquels le club participe (1pt par plateau max 6)</t>
  </si>
  <si>
    <t xml:space="preserve"> Participation des jeunes aux plateaux U6-U7 (Oui=3pts)</t>
  </si>
  <si>
    <t>Participation des jeunes aux plateaux U8-U9  (Oui=3pts)</t>
  </si>
  <si>
    <t>Participation des jeunes aux plateaux U10-U11 (Oui=3pts)</t>
  </si>
  <si>
    <t>OU Plus de 1,5 : (oui = 3pts)</t>
  </si>
  <si>
    <t>OU Plus de 2 : (oui = 6pts)</t>
  </si>
  <si>
    <t>OU Plus de 2,5 : (oui = 9pts)</t>
  </si>
  <si>
    <t>Pour la catégorie U12-U13 (oui = 1pt)</t>
  </si>
  <si>
    <t>Pour la catégorie U14-U15  (oui = 1pt)</t>
  </si>
  <si>
    <t>Pour la catégorie U16-U19  (oui = 1pt)</t>
  </si>
  <si>
    <t>Critères : Pratiques nouvelles proposées</t>
  </si>
  <si>
    <t>Le club participe-t-il aux actions Futsal de la Ligue ou District mises en place pour les jeunes (oui 3pts)</t>
  </si>
  <si>
    <t>PS601</t>
  </si>
  <si>
    <t>Le club met-il en place des entrainements spécifiques Futsal pour les jeunes (oui 2pts)</t>
  </si>
  <si>
    <t>PS602</t>
  </si>
  <si>
    <t>PS603</t>
  </si>
  <si>
    <t>PS604</t>
  </si>
  <si>
    <t>PS605</t>
  </si>
  <si>
    <t>PS606</t>
  </si>
  <si>
    <t>Le club participe-t-il aux actionsBeach soccer de la Ligue ou District mises en place pour les jeunes (oui 3pts)</t>
  </si>
  <si>
    <t>Le club met-il en place des entrainements spécifiques Beach soccer pour les jeunes (oui 2pts)</t>
  </si>
  <si>
    <t>Le club participe-t-il aux rencontres loisirs organisées par la Ligue ou le District (oui 3pts)</t>
  </si>
  <si>
    <t>Le club propose-t-il des créneaux loisirs au sein de ses activités (oui 2pts)</t>
  </si>
  <si>
    <r>
      <rPr>
        <b/>
        <i/>
        <u/>
        <sz val="10"/>
        <rFont val="Arial"/>
        <family val="2"/>
      </rPr>
      <t>Rappel</t>
    </r>
    <r>
      <rPr>
        <b/>
        <i/>
        <sz val="10"/>
        <rFont val="Arial"/>
        <family val="2"/>
      </rPr>
      <t xml:space="preserve"> : Niveau "Espoir" = 40 pts minimum - "Excellence" =50 pts minimum - "Elite" = 60 points minimum</t>
    </r>
  </si>
  <si>
    <t>PE301</t>
  </si>
  <si>
    <t>Existence d'un calendrier prévisionnel d'actions sur la saison (oui = 5pts)</t>
  </si>
  <si>
    <t>PE303</t>
  </si>
  <si>
    <t>PE304</t>
  </si>
  <si>
    <t>Existence d'une commission dédiée au volet éducatif, social ou citoyen  (oui = 5pts)</t>
  </si>
  <si>
    <t>Quelles sont les catégories ciblées par le PEF ?</t>
  </si>
  <si>
    <t>Catégories U6-U9 ciblées par le programme éducatif (oui = 5pts)</t>
  </si>
  <si>
    <t>Catégories U10-U13 ciblées par le programme éducatif (oui = 5pts)</t>
  </si>
  <si>
    <t>Catégories U14-U19 ciblées par le programme éducatif (oui = 5pts)</t>
  </si>
  <si>
    <t>Disponibilité des outils du programme aux encadrants (oui = 5pts)</t>
  </si>
  <si>
    <t>PE305</t>
  </si>
  <si>
    <t>Inscription du programme éducatif à l'ordre du jour des diverses réunions du club (oui = 5pts)</t>
  </si>
  <si>
    <t>Critères : Structuration - Organisation</t>
  </si>
  <si>
    <t>Critères : Déploiement</t>
  </si>
  <si>
    <t>PE401</t>
  </si>
  <si>
    <t>PE402</t>
  </si>
  <si>
    <t>Le club implique-t-il les parents, les accompaganteurs ou d'autres personnes extérieurs ? (oui = 5pts)</t>
  </si>
  <si>
    <t>PE403</t>
  </si>
  <si>
    <t>Combien de séances pédagogiques en salle  ?</t>
  </si>
  <si>
    <t>Le club a-t-il déjà mis en place une action sur les thématiques suivantes ?</t>
  </si>
  <si>
    <t>PE404</t>
  </si>
  <si>
    <t>Quels outils dédiés au programme le club utilise-t-il ?</t>
  </si>
  <si>
    <t>PE405</t>
  </si>
  <si>
    <t>Utilisation du classeur (Oui = 2pts)</t>
  </si>
  <si>
    <t>Utilisation des Incollables (Oui = 2pts)</t>
  </si>
  <si>
    <t>Utilisation de la plateforme pédagogique (Oui = 2pts)</t>
  </si>
  <si>
    <t>PE501</t>
  </si>
  <si>
    <t xml:space="preserve">Site internet </t>
  </si>
  <si>
    <t>Réseaux sociaux</t>
  </si>
  <si>
    <t>Plaquettes</t>
  </si>
  <si>
    <r>
      <t xml:space="preserve">Mise en valeur des actions éducatives sur les supports de communication du club </t>
    </r>
    <r>
      <rPr>
        <b/>
        <sz val="8"/>
        <rFont val="Arial"/>
        <family val="2"/>
      </rPr>
      <t>(1support=2pts, 2=3pts,3=5pts)</t>
    </r>
  </si>
  <si>
    <t>PE502</t>
  </si>
  <si>
    <t>Le club a-t-il consituté un ou plusieurs dossiers de demande de valorisation de ses actions ? (oui=5pts)</t>
  </si>
  <si>
    <t>PE503</t>
  </si>
  <si>
    <t>Nombre de fiches actions transmises au district ou à la ligue (1 fiche =2pts, 2=3pts, 3ou+=5pts)</t>
  </si>
  <si>
    <t>PE504</t>
  </si>
  <si>
    <r>
      <t xml:space="preserve">Le club active-t-il les médias locaux pour la promotion de ses actions </t>
    </r>
    <r>
      <rPr>
        <b/>
        <sz val="8"/>
        <rFont val="Arial"/>
        <family val="2"/>
      </rPr>
      <t>(dossiers de presse, communiqués, etc…) (oui=5pts)</t>
    </r>
  </si>
  <si>
    <t>O/N/nbe</t>
  </si>
  <si>
    <r>
      <rPr>
        <b/>
        <i/>
        <u/>
        <sz val="10"/>
        <rFont val="Arial"/>
        <family val="2"/>
      </rPr>
      <t>Rappel</t>
    </r>
    <r>
      <rPr>
        <b/>
        <i/>
        <sz val="10"/>
        <rFont val="Arial"/>
        <family val="2"/>
      </rPr>
      <t xml:space="preserve"> : Niveau "Espoir" = 50 pts minimum - "Excellence" = 50 pts minimum - "Elite" = 50 points minimum</t>
    </r>
  </si>
  <si>
    <t>PF401</t>
  </si>
  <si>
    <t>PF402</t>
  </si>
  <si>
    <t>PF403</t>
  </si>
  <si>
    <t>PF404</t>
  </si>
  <si>
    <t>PF405</t>
  </si>
  <si>
    <t>PF406</t>
  </si>
  <si>
    <t>PF407</t>
  </si>
  <si>
    <t>PF408</t>
  </si>
  <si>
    <r>
      <t>Nombre de licenciés attestés d'une formation aux gestes qui sauvent PSC1 et équivalences</t>
    </r>
    <r>
      <rPr>
        <b/>
        <sz val="8"/>
        <color theme="0"/>
        <rFont val="Arial"/>
        <family val="2"/>
      </rPr>
      <t xml:space="preserve"> (&gt;=1=3pts; &gt;=3=4pts;&gt;=5=5pts)</t>
    </r>
  </si>
  <si>
    <t>Nombre d'éducatrices intervenant dans la catégorie U7 titulaires de l'attestation U6-U7 (1=3pts;2=4pts;3=5pts)</t>
  </si>
  <si>
    <r>
      <t xml:space="preserve">Ratio nombre d'éducateurs attestés ou certifiés / total licenciés U10-U13 </t>
    </r>
    <r>
      <rPr>
        <b/>
        <sz val="8"/>
        <color theme="0"/>
        <rFont val="Arial"/>
        <family val="2"/>
      </rPr>
      <t>(1pour 20=5pts;1 pr 16=10pts;1 pr 12=15pts)</t>
    </r>
  </si>
  <si>
    <r>
      <t xml:space="preserve">Ratio nombre d'éducateurs attestés ou certifiés / total licenciés U14-U19 </t>
    </r>
    <r>
      <rPr>
        <b/>
        <sz val="8"/>
        <color theme="0"/>
        <rFont val="Arial"/>
        <family val="2"/>
      </rPr>
      <t>(1pour 22=5pts;1 pr 18=10pts;1 pr 14=15pts)</t>
    </r>
  </si>
  <si>
    <r>
      <t xml:space="preserve">Ratio nombre d'éducateurs attestés ou certifiés / total licenciés U6-U9 </t>
    </r>
    <r>
      <rPr>
        <b/>
        <sz val="8"/>
        <color theme="0"/>
        <rFont val="Arial"/>
        <family val="2"/>
      </rPr>
      <t>(1pour 16=5pts;1 pr 12=10pts;1 pr 8=15pts)</t>
    </r>
  </si>
  <si>
    <t>Nombre d'encadrants spécifiques attestés ou certifiés (1par certificat, 0,5 par attestation max 3pts)</t>
  </si>
  <si>
    <r>
      <t xml:space="preserve">Nombre d'arbitres supplémentaires au-delà du respect du statut fédéral de l'arbitrage </t>
    </r>
    <r>
      <rPr>
        <b/>
        <sz val="9"/>
        <color theme="0"/>
        <rFont val="Arial"/>
        <family val="2"/>
      </rPr>
      <t>(1=2pts; 2=4pts; 3ou+=5pts)</t>
    </r>
  </si>
  <si>
    <t>Nombre d'attestés spécifiques</t>
  </si>
  <si>
    <t>Nombre de certifiés spécifiques</t>
  </si>
  <si>
    <t>2 CFF4 ou plus = 10 pts</t>
  </si>
  <si>
    <t xml:space="preserve">Nombre de dirrigeants/éducateurs certifiés du CFF4 ou attestés d'un module du CFF4 </t>
  </si>
  <si>
    <t>Critères : Fidélisation de l'encadrement</t>
  </si>
  <si>
    <t>PF501</t>
  </si>
  <si>
    <t>PF502</t>
  </si>
  <si>
    <t>Critères : Plan de formation des dirigeants bénévoles</t>
  </si>
  <si>
    <t>Critères : Plan de formation des éducateurs</t>
  </si>
  <si>
    <t>Critères : Plan de formation des arbitres</t>
  </si>
  <si>
    <t>Critères : Plan de formation des salariés administratifs</t>
  </si>
  <si>
    <t>% d'éducateurs fidélisés M et F (N-1/N) (&gt;70%=5pts;&gt;80%=8pts;&gt;90%=10pts)</t>
  </si>
  <si>
    <t>% de dirigeants licenciés fidélisés M et F (N-1/N)  (&gt;70%=2pts;&gt;80%=4pts;&gt;90%=5pts)</t>
  </si>
  <si>
    <t>PF601</t>
  </si>
  <si>
    <t>PF701</t>
  </si>
  <si>
    <t>PF801</t>
  </si>
  <si>
    <t>PF901</t>
  </si>
  <si>
    <t>Evaluation du plan de formation des salariés administratifs</t>
  </si>
  <si>
    <r>
      <rPr>
        <b/>
        <i/>
        <u/>
        <sz val="10"/>
        <rFont val="Arial"/>
        <family val="2"/>
      </rPr>
      <t>Rappel</t>
    </r>
    <r>
      <rPr>
        <b/>
        <i/>
        <sz val="10"/>
        <rFont val="Arial"/>
        <family val="2"/>
      </rPr>
      <t xml:space="preserve"> : Niveau "Espoir" = 40 pts minimum - "Excellence" = 50 pts minimum - "Elite" = 60 points minimum</t>
    </r>
  </si>
  <si>
    <t>Effectifs jeunes</t>
  </si>
  <si>
    <t>Sécurité opérationnelle</t>
  </si>
  <si>
    <t>Qualité installations</t>
  </si>
  <si>
    <t>Actions de recrutement</t>
  </si>
  <si>
    <t>Animation du club</t>
  </si>
  <si>
    <t>Organisation technique</t>
  </si>
  <si>
    <t>Pratiques nouvelles proposées</t>
  </si>
  <si>
    <t xml:space="preserve">Moyen = 1pt </t>
  </si>
  <si>
    <t>StructurationOrganisation</t>
  </si>
  <si>
    <t>Déploiement</t>
  </si>
  <si>
    <t>1 CFF4 et 2 modules ou plus = 8 pts</t>
  </si>
  <si>
    <t xml:space="preserve">1 CFF4 et 1 module = 6 pts </t>
  </si>
  <si>
    <t xml:space="preserve">1 CFF4 = 5 pts </t>
  </si>
  <si>
    <t xml:space="preserve">2 modules ou plus = 4 pts </t>
  </si>
  <si>
    <t>1 module = 2 pts</t>
  </si>
  <si>
    <t>Aucune certification ou attestation = 0 pt</t>
  </si>
  <si>
    <t>Critères : Niveau d'encadrement</t>
  </si>
  <si>
    <t>Niveau d'encadrement</t>
  </si>
  <si>
    <t>Fidelisation de l'encadrement</t>
  </si>
  <si>
    <t>Plan de formation dirigeants</t>
  </si>
  <si>
    <t>Plan de formation arbitres</t>
  </si>
  <si>
    <t>Plan de formation salariés</t>
  </si>
  <si>
    <t>Plan de formation éducateurs</t>
  </si>
  <si>
    <t>Effectifs dirigeants</t>
  </si>
  <si>
    <r>
      <rPr>
        <b/>
        <u/>
        <sz val="14"/>
        <color theme="0"/>
        <rFont val="Arial"/>
        <family val="2"/>
      </rPr>
      <t>PROJET ASSOCIATIF</t>
    </r>
    <r>
      <rPr>
        <b/>
        <sz val="14"/>
        <color theme="0"/>
        <rFont val="Arial"/>
        <family val="2"/>
      </rPr>
      <t xml:space="preserve"> :</t>
    </r>
  </si>
  <si>
    <r>
      <rPr>
        <b/>
        <u/>
        <sz val="14"/>
        <rFont val="Arial"/>
        <family val="2"/>
      </rPr>
      <t>PROJET SPORTIF</t>
    </r>
    <r>
      <rPr>
        <b/>
        <sz val="14"/>
        <rFont val="Arial"/>
        <family val="2"/>
      </rPr>
      <t xml:space="preserve"> :</t>
    </r>
  </si>
  <si>
    <t>50% (3pts)</t>
  </si>
  <si>
    <t>100 (5pts)</t>
  </si>
  <si>
    <t>Données à rentrer par le club</t>
  </si>
  <si>
    <t>Seule la colonne G est à remplir par le club</t>
  </si>
  <si>
    <t>Seule la colonne H est à remplir par le club</t>
  </si>
  <si>
    <t>Seule la colonne K est à remplir par le club par O pour Oui et N pour Non</t>
  </si>
  <si>
    <t>Seule la colonne K est à remplir par le club</t>
  </si>
  <si>
    <t>Tableau d'affichage visible sur les installations ou à défaut, sur le site internet du club</t>
  </si>
  <si>
    <t>Utilisation de buts de foot à 8</t>
  </si>
  <si>
    <t>Club engagé dans le programme éducatif fédéral et transmission de fiches actions au CTR DAP</t>
  </si>
  <si>
    <t>Charte d'engagement affichée au sein du club ou sur les autres supports de communication du club (site, réseaux sociaux)</t>
  </si>
  <si>
    <t>Lois du jeu du Foot d'animation affichés au sein du club ou sur les autres supports de communication du club (site, réseaux sociaux)</t>
  </si>
  <si>
    <t>Référent PEF identifié et qui participe aux réunions organisées par la Ligue</t>
  </si>
  <si>
    <t>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</si>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</sst>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b/>
      <i/>
      <u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26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2"/>
      <color rgb="FF00206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2"/>
      <color rgb="FFC00000"/>
      <name val="Arial"/>
      <family val="2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b/>
      <sz val="25"/>
      <color rgb="FFFF0000"/>
      <name val="Arial"/>
      <family val="2"/>
    </font>
    <font>
      <b/>
      <sz val="2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darkUp">
        <bgColor rgb="FF00FF00"/>
      </patternFill>
    </fill>
    <fill>
      <patternFill patternType="darkUp">
        <bgColor rgb="FFFF0000"/>
      </patternFill>
    </fill>
    <fill>
      <patternFill patternType="darkUp">
        <fgColor rgb="FFFF0000"/>
        <bgColor theme="1"/>
      </patternFill>
    </fill>
    <fill>
      <patternFill patternType="darkUp">
        <fgColor rgb="FFFF0000"/>
        <bgColor rgb="FFFF0000"/>
      </patternFill>
    </fill>
    <fill>
      <patternFill patternType="darkUp">
        <bgColor theme="0"/>
      </patternFill>
    </fill>
    <fill>
      <patternFill patternType="darkUp">
        <fgColor rgb="FFFF000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lightDown">
        <bgColor theme="3"/>
      </patternFill>
    </fill>
    <fill>
      <patternFill patternType="darkUp">
        <bgColor rgb="FFFFC000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 style="thin">
        <color indexed="64"/>
      </bottom>
      <diagonal/>
    </border>
    <border>
      <left style="thick">
        <color theme="6"/>
      </left>
      <right style="thick">
        <color theme="6"/>
      </right>
      <top style="thin">
        <color indexed="64"/>
      </top>
      <bottom style="thin">
        <color indexed="64"/>
      </bottom>
      <diagonal/>
    </border>
    <border>
      <left style="thick">
        <color theme="6"/>
      </left>
      <right style="thick">
        <color theme="6"/>
      </right>
      <top style="thin">
        <color indexed="64"/>
      </top>
      <bottom style="thick">
        <color theme="6"/>
      </bottom>
      <diagonal/>
    </border>
    <border>
      <left style="thick">
        <color theme="6"/>
      </left>
      <right style="thick">
        <color theme="6"/>
      </right>
      <top style="thin">
        <color auto="1"/>
      </top>
      <bottom/>
      <diagonal/>
    </border>
    <border>
      <left style="thick">
        <color theme="6"/>
      </left>
      <right style="thick">
        <color theme="6"/>
      </right>
      <top/>
      <bottom style="thin">
        <color indexed="64"/>
      </bottom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</cellStyleXfs>
  <cellXfs count="46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1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0" fontId="6" fillId="6" borderId="4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11" borderId="4" xfId="0" applyFont="1" applyFill="1" applyBorder="1" applyAlignment="1">
      <alignment vertical="center"/>
    </xf>
    <xf numFmtId="0" fontId="2" fillId="11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1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9" fontId="2" fillId="3" borderId="4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9" fontId="2" fillId="4" borderId="4" xfId="1" applyFont="1" applyFill="1" applyBorder="1" applyAlignment="1">
      <alignment horizontal="center" vertical="center"/>
    </xf>
    <xf numFmtId="10" fontId="6" fillId="5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1" fontId="6" fillId="5" borderId="4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5" fillId="0" borderId="0" xfId="0" applyFont="1"/>
    <xf numFmtId="0" fontId="17" fillId="6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4" xfId="0" applyFont="1" applyBorder="1"/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/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9" xfId="0" applyFont="1" applyBorder="1"/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4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/>
    <xf numFmtId="0" fontId="21" fillId="0" borderId="29" xfId="0" applyFont="1" applyFill="1" applyBorder="1"/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6" fillId="6" borderId="4" xfId="1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9" fontId="0" fillId="0" borderId="0" xfId="1" applyFont="1" applyAlignment="1">
      <alignment vertical="center"/>
    </xf>
    <xf numFmtId="0" fontId="0" fillId="0" borderId="0" xfId="0" applyFill="1"/>
    <xf numFmtId="0" fontId="22" fillId="0" borderId="3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vertical="center"/>
    </xf>
    <xf numFmtId="0" fontId="6" fillId="12" borderId="15" xfId="0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0" fontId="6" fillId="12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vertical="center"/>
    </xf>
    <xf numFmtId="0" fontId="26" fillId="6" borderId="27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23" fillId="4" borderId="43" xfId="0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10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2" borderId="27" xfId="0" applyFont="1" applyFill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10" fontId="6" fillId="8" borderId="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 wrapText="1"/>
    </xf>
    <xf numFmtId="0" fontId="1" fillId="0" borderId="0" xfId="0" applyFont="1"/>
    <xf numFmtId="2" fontId="0" fillId="0" borderId="0" xfId="0" applyNumberForma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33" fillId="6" borderId="0" xfId="0" applyFont="1" applyFill="1" applyAlignment="1">
      <alignment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10" fontId="6" fillId="6" borderId="21" xfId="0" applyNumberFormat="1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7" xfId="0" applyFont="1" applyBorder="1"/>
    <xf numFmtId="0" fontId="20" fillId="0" borderId="5" xfId="0" applyFont="1" applyBorder="1"/>
    <xf numFmtId="0" fontId="20" fillId="0" borderId="12" xfId="0" applyFont="1" applyBorder="1"/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" fillId="18" borderId="18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left" vertical="center"/>
    </xf>
    <xf numFmtId="0" fontId="6" fillId="6" borderId="49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 wrapText="1" indent="2"/>
    </xf>
    <xf numFmtId="0" fontId="6" fillId="6" borderId="7" xfId="0" applyFont="1" applyFill="1" applyBorder="1" applyAlignment="1">
      <alignment horizontal="left" vertical="center" wrapText="1" indent="2"/>
    </xf>
    <xf numFmtId="0" fontId="6" fillId="6" borderId="56" xfId="0" applyFont="1" applyFill="1" applyBorder="1" applyAlignment="1">
      <alignment horizontal="left" vertical="center" wrapText="1" indent="2"/>
    </xf>
    <xf numFmtId="0" fontId="6" fillId="6" borderId="2" xfId="0" applyFont="1" applyFill="1" applyBorder="1" applyAlignment="1">
      <alignment horizontal="left" vertical="center" wrapText="1" indent="2"/>
    </xf>
    <xf numFmtId="0" fontId="6" fillId="6" borderId="24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left" vertical="center"/>
    </xf>
    <xf numFmtId="0" fontId="6" fillId="18" borderId="6" xfId="0" applyFont="1" applyFill="1" applyBorder="1" applyAlignment="1">
      <alignment horizontal="left" vertical="center"/>
    </xf>
    <xf numFmtId="0" fontId="6" fillId="18" borderId="7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28" fillId="2" borderId="48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left" vertical="center"/>
    </xf>
    <xf numFmtId="0" fontId="6" fillId="6" borderId="48" xfId="0" applyFont="1" applyFill="1" applyBorder="1" applyAlignment="1">
      <alignment horizontal="left" vertical="center" wrapText="1"/>
    </xf>
    <xf numFmtId="0" fontId="6" fillId="6" borderId="49" xfId="0" applyFont="1" applyFill="1" applyBorder="1" applyAlignment="1">
      <alignment horizontal="left" vertical="center" wrapText="1"/>
    </xf>
    <xf numFmtId="0" fontId="6" fillId="6" borderId="50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indent="2"/>
    </xf>
    <xf numFmtId="0" fontId="6" fillId="6" borderId="6" xfId="0" applyFont="1" applyFill="1" applyBorder="1" applyAlignment="1">
      <alignment horizontal="left" vertical="center" indent="2"/>
    </xf>
    <xf numFmtId="0" fontId="6" fillId="6" borderId="7" xfId="0" applyFont="1" applyFill="1" applyBorder="1" applyAlignment="1">
      <alignment horizontal="left" vertical="center" indent="2"/>
    </xf>
    <xf numFmtId="0" fontId="6" fillId="6" borderId="48" xfId="0" applyFont="1" applyFill="1" applyBorder="1" applyAlignment="1">
      <alignment horizontal="left" vertical="center" indent="2"/>
    </xf>
    <xf numFmtId="0" fontId="6" fillId="6" borderId="49" xfId="0" applyFont="1" applyFill="1" applyBorder="1" applyAlignment="1">
      <alignment horizontal="left" vertical="center" indent="2"/>
    </xf>
    <xf numFmtId="0" fontId="6" fillId="6" borderId="50" xfId="0" applyFont="1" applyFill="1" applyBorder="1" applyAlignment="1">
      <alignment horizontal="left" vertical="center" indent="2"/>
    </xf>
    <xf numFmtId="0" fontId="6" fillId="6" borderId="18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indent="2"/>
    </xf>
    <xf numFmtId="0" fontId="2" fillId="3" borderId="6" xfId="0" applyFont="1" applyFill="1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8" borderId="5" xfId="0" applyFont="1" applyFill="1" applyBorder="1" applyAlignment="1">
      <alignment horizontal="left" vertical="center" wrapText="1"/>
    </xf>
    <xf numFmtId="0" fontId="2" fillId="18" borderId="6" xfId="0" applyFont="1" applyFill="1" applyBorder="1" applyAlignment="1">
      <alignment horizontal="left" vertical="center" wrapText="1"/>
    </xf>
    <xf numFmtId="0" fontId="2" fillId="18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18" borderId="5" xfId="0" applyFont="1" applyFill="1" applyBorder="1" applyAlignment="1">
      <alignment horizontal="left" vertical="center" indent="2"/>
    </xf>
    <xf numFmtId="0" fontId="2" fillId="18" borderId="6" xfId="0" applyFont="1" applyFill="1" applyBorder="1" applyAlignment="1">
      <alignment horizontal="left" vertical="center" indent="2"/>
    </xf>
    <xf numFmtId="0" fontId="2" fillId="18" borderId="7" xfId="0" applyFont="1" applyFill="1" applyBorder="1" applyAlignment="1">
      <alignment horizontal="left" vertical="center" indent="2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19" fillId="13" borderId="12" xfId="0" applyFont="1" applyFill="1" applyBorder="1" applyAlignment="1">
      <alignment horizontal="center" vertical="center"/>
    </xf>
    <xf numFmtId="0" fontId="19" fillId="13" borderId="13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14" borderId="13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12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</cellXfs>
  <cellStyles count="4">
    <cellStyle name="Milliers" xfId="2" builtinId="3"/>
    <cellStyle name="Normal" xfId="0" builtinId="0"/>
    <cellStyle name="Normal 2" xfId="3"/>
    <cellStyle name="Pourcentage" xfId="1" builtinId="5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CRITERES</a:t>
            </a:r>
            <a:r>
              <a:rPr lang="en-US" sz="1800" b="1" baseline="0"/>
              <a:t> INCONTOURNABLES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'Eval CI'!$P$8:$P$12</c:f>
              <c:strCache>
                <c:ptCount val="5"/>
                <c:pt idx="0">
                  <c:v>Projet Associatif</c:v>
                </c:pt>
                <c:pt idx="2">
                  <c:v>Projet Sportif</c:v>
                </c:pt>
                <c:pt idx="3">
                  <c:v>Projet Educatif</c:v>
                </c:pt>
                <c:pt idx="4">
                  <c:v>Projet de formation</c:v>
                </c:pt>
              </c:strCache>
            </c:strRef>
          </c:cat>
          <c:val>
            <c:numRef>
              <c:f>'Eval CI'!$Q$8:$Q$12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E-46F2-9378-56BEC5966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72752"/>
        <c:axId val="170473312"/>
      </c:radarChart>
      <c:catAx>
        <c:axId val="170472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73312"/>
        <c:crosses val="autoZero"/>
        <c:auto val="1"/>
        <c:lblAlgn val="ctr"/>
        <c:lblOffset val="100"/>
        <c:noMultiLvlLbl val="0"/>
      </c:catAx>
      <c:valAx>
        <c:axId val="170473312"/>
        <c:scaling>
          <c:orientation val="minMax"/>
          <c:max val="9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47275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2800">
                <a:solidFill>
                  <a:srgbClr val="002060"/>
                </a:solidFill>
              </a:rPr>
              <a:t>Projet associatif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34925" cap="rnd">
              <a:solidFill>
                <a:schemeClr val="accent1">
                  <a:tint val="77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77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'Eval CC Projet associatif'!$P$8:$P$13</c:f>
              <c:strCache>
                <c:ptCount val="6"/>
                <c:pt idx="0">
                  <c:v>Effectifs jeunes</c:v>
                </c:pt>
                <c:pt idx="1">
                  <c:v>Effectifs dirigeants</c:v>
                </c:pt>
                <c:pt idx="2">
                  <c:v>Sécurité opérationnelle</c:v>
                </c:pt>
                <c:pt idx="3">
                  <c:v>Qualité installations</c:v>
                </c:pt>
                <c:pt idx="4">
                  <c:v>Actions de recrutement</c:v>
                </c:pt>
                <c:pt idx="5">
                  <c:v>Animation du club</c:v>
                </c:pt>
              </c:strCache>
            </c:strRef>
          </c:cat>
          <c:val>
            <c:numRef>
              <c:f>'Eval CC Projet associatif'!$S$8:$S$13</c:f>
              <c:numCache>
                <c:formatCode>0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9.2799999999999994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E-493A-950A-D4146534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7440"/>
        <c:axId val="172408000"/>
      </c:radarChart>
      <c:catAx>
        <c:axId val="1724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08000"/>
        <c:crosses val="autoZero"/>
        <c:auto val="1"/>
        <c:lblAlgn val="ctr"/>
        <c:lblOffset val="100"/>
        <c:noMultiLvlLbl val="0"/>
      </c:catAx>
      <c:valAx>
        <c:axId val="17240800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074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fr-FR" sz="2800">
                <a:solidFill>
                  <a:srgbClr val="00B050"/>
                </a:solidFill>
              </a:rPr>
              <a:t>Projet sportif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34925" cap="rnd">
              <a:solidFill>
                <a:srgbClr val="00B05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rgbClr val="00B05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'Eval CC Projet sportif'!$N$7:$N$10</c:f>
              <c:strCache>
                <c:ptCount val="4"/>
                <c:pt idx="0">
                  <c:v>Organisation technique</c:v>
                </c:pt>
                <c:pt idx="1">
                  <c:v>Méthodes pédagogiques</c:v>
                </c:pt>
                <c:pt idx="2">
                  <c:v>Participation aux actions fédérales</c:v>
                </c:pt>
                <c:pt idx="3">
                  <c:v>Pratiques nouvelles proposées</c:v>
                </c:pt>
              </c:strCache>
            </c:strRef>
          </c:cat>
          <c:val>
            <c:numRef>
              <c:f>'Eval CC Projet sportif'!$Q$7:$Q$10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8-4AEC-9510-280E4E526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0800"/>
        <c:axId val="172411360"/>
      </c:radarChart>
      <c:catAx>
        <c:axId val="17241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11360"/>
        <c:crosses val="autoZero"/>
        <c:auto val="1"/>
        <c:lblAlgn val="ctr"/>
        <c:lblOffset val="100"/>
        <c:noMultiLvlLbl val="0"/>
      </c:catAx>
      <c:valAx>
        <c:axId val="17241136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108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r>
              <a:rPr lang="fr-FR" sz="2800">
                <a:solidFill>
                  <a:srgbClr val="FFC000"/>
                </a:solidFill>
              </a:rPr>
              <a:t>Projet éducatif</a:t>
            </a:r>
          </a:p>
        </c:rich>
      </c:tx>
      <c:layout>
        <c:manualLayout>
          <c:xMode val="edge"/>
          <c:yMode val="edge"/>
          <c:x val="0.40489575195013527"/>
          <c:y val="1.6822429906542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rgbClr val="FFC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737808745912976"/>
          <c:y val="0.14880182500551917"/>
          <c:w val="0.5741742068649186"/>
          <c:h val="0.77206192306901589"/>
        </c:manualLayout>
      </c:layout>
      <c:radarChart>
        <c:radarStyle val="marker"/>
        <c:varyColors val="0"/>
        <c:ser>
          <c:idx val="1"/>
          <c:order val="0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C000"/>
              </a:solidFill>
              <a:ln w="9525">
                <a:solidFill>
                  <a:schemeClr val="accent6">
                    <a:shade val="76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'Eval CC Projet éducatif'!$N$7:$N$9</c:f>
              <c:strCache>
                <c:ptCount val="3"/>
                <c:pt idx="0">
                  <c:v>StructurationOrganisation</c:v>
                </c:pt>
                <c:pt idx="1">
                  <c:v>Déploiement</c:v>
                </c:pt>
                <c:pt idx="2">
                  <c:v>Communication</c:v>
                </c:pt>
              </c:strCache>
            </c:strRef>
          </c:cat>
          <c:val>
            <c:numRef>
              <c:f>'Eval CC Projet éducatif'!$Q$7:$Q$9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2-4EB9-A415-6FC05EA96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4160"/>
        <c:axId val="172414720"/>
      </c:radarChart>
      <c:catAx>
        <c:axId val="17241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14720"/>
        <c:crosses val="autoZero"/>
        <c:auto val="1"/>
        <c:lblAlgn val="ctr"/>
        <c:lblOffset val="100"/>
        <c:noMultiLvlLbl val="0"/>
      </c:catAx>
      <c:valAx>
        <c:axId val="17241472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141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fr-FR" sz="2800">
                <a:solidFill>
                  <a:srgbClr val="C00000"/>
                </a:solidFill>
              </a:rPr>
              <a:t>Projet de formation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'Eval CC Projet de formation'!$Q$6:$Q$11</c:f>
              <c:strCache>
                <c:ptCount val="6"/>
                <c:pt idx="0">
                  <c:v>Niveau d'encadrement</c:v>
                </c:pt>
                <c:pt idx="1">
                  <c:v>Fidelisation de l'encadrement</c:v>
                </c:pt>
                <c:pt idx="2">
                  <c:v>Plan de formation dirigeants</c:v>
                </c:pt>
                <c:pt idx="3">
                  <c:v>Plan de formation éducateurs</c:v>
                </c:pt>
                <c:pt idx="4">
                  <c:v>Plan de formation arbitres</c:v>
                </c:pt>
                <c:pt idx="5">
                  <c:v>Plan de formation salariés</c:v>
                </c:pt>
              </c:strCache>
            </c:strRef>
          </c:cat>
          <c:val>
            <c:numRef>
              <c:f>'Eval CC Projet de formation'!$T$6:$T$11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8-47E3-AB51-1F378464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7520"/>
        <c:axId val="172418080"/>
      </c:radarChart>
      <c:catAx>
        <c:axId val="1724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18080"/>
        <c:crosses val="autoZero"/>
        <c:auto val="1"/>
        <c:lblAlgn val="ctr"/>
        <c:lblOffset val="100"/>
        <c:noMultiLvlLbl val="0"/>
      </c:catAx>
      <c:valAx>
        <c:axId val="17241808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175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74082</xdr:colOff>
      <xdr:row>74</xdr:row>
      <xdr:rowOff>285750</xdr:rowOff>
    </xdr:from>
    <xdr:to>
      <xdr:col>10</xdr:col>
      <xdr:colOff>836083</xdr:colOff>
      <xdr:row>88</xdr:row>
      <xdr:rowOff>10584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142874</xdr:rowOff>
    </xdr:from>
    <xdr:to>
      <xdr:col>5</xdr:col>
      <xdr:colOff>1635125</xdr:colOff>
      <xdr:row>51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47626</xdr:rowOff>
    </xdr:from>
    <xdr:to>
      <xdr:col>17</xdr:col>
      <xdr:colOff>31750</xdr:colOff>
      <xdr:row>51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111125</xdr:rowOff>
    </xdr:from>
    <xdr:to>
      <xdr:col>5</xdr:col>
      <xdr:colOff>1635125</xdr:colOff>
      <xdr:row>95</xdr:row>
      <xdr:rowOff>79375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47624</xdr:colOff>
      <xdr:row>52</xdr:row>
      <xdr:rowOff>126998</xdr:rowOff>
    </xdr:from>
    <xdr:to>
      <xdr:col>17</xdr:col>
      <xdr:colOff>31749</xdr:colOff>
      <xdr:row>95</xdr:row>
      <xdr:rowOff>142875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50"/>
  <sheetViews>
    <sheetView tabSelected="1" workbookViewId="0">
      <selection activeCell="E5" sqref="E5:E10"/>
    </sheetView>
  </sheetViews>
  <sheetFormatPr baseColWidth="10" defaultColWidth="11.44140625" defaultRowHeight="13.8" x14ac:dyDescent="0.25"/>
  <cols>
    <col min="1" max="1" width="14" style="73" bestFit="1" customWidth="1"/>
    <col min="2" max="2" width="29.44140625" style="73" bestFit="1" customWidth="1"/>
    <col min="3" max="3" width="18.44140625" style="73" hidden="1" customWidth="1"/>
    <col min="4" max="4" width="27" style="73" bestFit="1" customWidth="1"/>
    <col min="5" max="8" width="11.5546875" style="73" customWidth="1"/>
    <col min="9" max="9" width="16.33203125" style="73" customWidth="1"/>
    <col min="10" max="10" width="11.5546875" style="73" customWidth="1"/>
    <col min="11" max="11" width="10" style="73" bestFit="1" customWidth="1"/>
    <col min="12" max="12" width="11.5546875" style="73" customWidth="1"/>
    <col min="13" max="13" width="10" style="73" bestFit="1" customWidth="1"/>
    <col min="14" max="16384" width="11.44140625" style="73"/>
  </cols>
  <sheetData>
    <row r="1" spans="1:17" s="72" customFormat="1" ht="42" thickBot="1" x14ac:dyDescent="0.3">
      <c r="A1" s="304" t="s">
        <v>53</v>
      </c>
      <c r="B1" s="303" t="s">
        <v>54</v>
      </c>
      <c r="C1" s="76" t="s">
        <v>55</v>
      </c>
      <c r="D1" s="75" t="s">
        <v>56</v>
      </c>
      <c r="E1" s="75" t="s">
        <v>57</v>
      </c>
      <c r="F1" s="75"/>
      <c r="G1" s="75" t="s">
        <v>124</v>
      </c>
      <c r="H1" s="75"/>
      <c r="I1" s="75" t="s">
        <v>58</v>
      </c>
      <c r="J1" s="75"/>
      <c r="K1" s="75" t="s">
        <v>59</v>
      </c>
      <c r="L1" s="75"/>
      <c r="M1" s="77" t="s">
        <v>60</v>
      </c>
    </row>
    <row r="2" spans="1:17" ht="14.4" thickTop="1" x14ac:dyDescent="0.25">
      <c r="A2" s="322"/>
      <c r="B2" s="322"/>
      <c r="C2" s="78">
        <v>10</v>
      </c>
      <c r="D2" s="74" t="s">
        <v>63</v>
      </c>
      <c r="E2" s="104"/>
      <c r="F2" s="104"/>
      <c r="G2" s="113"/>
      <c r="H2" s="113"/>
      <c r="I2" s="104"/>
      <c r="J2" s="104"/>
      <c r="K2" s="104"/>
      <c r="L2" s="104"/>
      <c r="M2" s="79"/>
    </row>
    <row r="3" spans="1:17" x14ac:dyDescent="0.25">
      <c r="A3" s="323"/>
      <c r="B3" s="323"/>
      <c r="C3" s="78">
        <v>10</v>
      </c>
      <c r="D3" s="74" t="s">
        <v>61</v>
      </c>
      <c r="E3" s="104"/>
      <c r="F3" s="104"/>
      <c r="G3" s="113"/>
      <c r="H3" s="113"/>
      <c r="I3" s="104"/>
      <c r="J3" s="104"/>
      <c r="K3" s="104"/>
      <c r="L3" s="104"/>
      <c r="M3" s="79"/>
    </row>
    <row r="4" spans="1:17" ht="14.4" thickBot="1" x14ac:dyDescent="0.3">
      <c r="A4" s="323"/>
      <c r="B4" s="323"/>
      <c r="C4" s="78">
        <v>10</v>
      </c>
      <c r="D4" s="74" t="s">
        <v>62</v>
      </c>
      <c r="E4" s="296"/>
      <c r="F4" s="104"/>
      <c r="G4" s="296"/>
      <c r="H4" s="113"/>
      <c r="I4" s="296"/>
      <c r="J4" s="104"/>
      <c r="K4" s="296"/>
      <c r="L4" s="104"/>
      <c r="M4" s="84"/>
    </row>
    <row r="5" spans="1:17" ht="14.4" thickTop="1" x14ac:dyDescent="0.25">
      <c r="A5" s="323"/>
      <c r="B5" s="323"/>
      <c r="C5" s="78">
        <v>11</v>
      </c>
      <c r="D5" s="299" t="s">
        <v>65</v>
      </c>
      <c r="E5" s="307"/>
      <c r="F5" s="326">
        <f>SUM(E5:E10)</f>
        <v>0</v>
      </c>
      <c r="G5" s="307"/>
      <c r="H5" s="316">
        <f>SUM(G5:G10)</f>
        <v>0</v>
      </c>
      <c r="I5" s="307"/>
      <c r="J5" s="326">
        <f>SUM(I5:I10)</f>
        <v>0</v>
      </c>
      <c r="K5" s="307"/>
      <c r="L5" s="326">
        <f>SUM(K5:K10)</f>
        <v>0</v>
      </c>
      <c r="M5" s="307"/>
    </row>
    <row r="6" spans="1:17" x14ac:dyDescent="0.25">
      <c r="A6" s="323"/>
      <c r="B6" s="323"/>
      <c r="C6" s="78">
        <v>11</v>
      </c>
      <c r="D6" s="299" t="s">
        <v>64</v>
      </c>
      <c r="E6" s="308"/>
      <c r="F6" s="326"/>
      <c r="G6" s="308"/>
      <c r="H6" s="317"/>
      <c r="I6" s="308"/>
      <c r="J6" s="326"/>
      <c r="K6" s="308"/>
      <c r="L6" s="326"/>
      <c r="M6" s="308"/>
    </row>
    <row r="7" spans="1:17" x14ac:dyDescent="0.25">
      <c r="A7" s="323"/>
      <c r="B7" s="323"/>
      <c r="C7" s="78">
        <v>12</v>
      </c>
      <c r="D7" s="299" t="s">
        <v>67</v>
      </c>
      <c r="E7" s="308"/>
      <c r="F7" s="326"/>
      <c r="G7" s="308"/>
      <c r="H7" s="317"/>
      <c r="I7" s="308"/>
      <c r="J7" s="326"/>
      <c r="K7" s="308"/>
      <c r="L7" s="326"/>
      <c r="M7" s="308"/>
    </row>
    <row r="8" spans="1:17" ht="14.4" thickBot="1" x14ac:dyDescent="0.3">
      <c r="A8" s="323"/>
      <c r="B8" s="323"/>
      <c r="C8" s="78">
        <v>12</v>
      </c>
      <c r="D8" s="299" t="s">
        <v>66</v>
      </c>
      <c r="E8" s="308"/>
      <c r="F8" s="326"/>
      <c r="G8" s="308"/>
      <c r="H8" s="318"/>
      <c r="I8" s="308"/>
      <c r="J8" s="326"/>
      <c r="K8" s="308"/>
      <c r="L8" s="326"/>
      <c r="M8" s="308"/>
    </row>
    <row r="9" spans="1:17" ht="15" thickTop="1" thickBot="1" x14ac:dyDescent="0.3">
      <c r="A9" s="323"/>
      <c r="B9" s="323"/>
      <c r="C9" s="78">
        <v>13</v>
      </c>
      <c r="D9" s="299" t="s">
        <v>69</v>
      </c>
      <c r="E9" s="308"/>
      <c r="F9" s="326"/>
      <c r="G9" s="308"/>
      <c r="H9" s="316">
        <f>SUM(G9:G12)</f>
        <v>0</v>
      </c>
      <c r="I9" s="308"/>
      <c r="J9" s="326"/>
      <c r="K9" s="308"/>
      <c r="L9" s="326"/>
      <c r="M9" s="308"/>
      <c r="P9" s="298"/>
      <c r="Q9" s="73" t="s">
        <v>458</v>
      </c>
    </row>
    <row r="10" spans="1:17" ht="14.4" thickTop="1" x14ac:dyDescent="0.25">
      <c r="A10" s="323"/>
      <c r="B10" s="323"/>
      <c r="C10" s="78">
        <v>13</v>
      </c>
      <c r="D10" s="299" t="s">
        <v>68</v>
      </c>
      <c r="E10" s="308"/>
      <c r="F10" s="326"/>
      <c r="G10" s="308"/>
      <c r="H10" s="317"/>
      <c r="I10" s="308"/>
      <c r="J10" s="326"/>
      <c r="K10" s="308"/>
      <c r="L10" s="326"/>
      <c r="M10" s="308"/>
    </row>
    <row r="11" spans="1:17" x14ac:dyDescent="0.25">
      <c r="A11" s="323"/>
      <c r="B11" s="323"/>
      <c r="C11" s="78">
        <v>14</v>
      </c>
      <c r="D11" s="299" t="s">
        <v>92</v>
      </c>
      <c r="E11" s="308"/>
      <c r="F11" s="326">
        <f>SUM(E11:E12)</f>
        <v>0</v>
      </c>
      <c r="G11" s="308"/>
      <c r="H11" s="317"/>
      <c r="I11" s="308"/>
      <c r="J11" s="326">
        <f>SUM(I11:I12)</f>
        <v>0</v>
      </c>
      <c r="K11" s="308"/>
      <c r="L11" s="326">
        <f>SUM(K11:K12)</f>
        <v>0</v>
      </c>
      <c r="M11" s="308"/>
    </row>
    <row r="12" spans="1:17" x14ac:dyDescent="0.25">
      <c r="A12" s="323"/>
      <c r="B12" s="323"/>
      <c r="C12" s="78">
        <v>15</v>
      </c>
      <c r="D12" s="299" t="s">
        <v>70</v>
      </c>
      <c r="E12" s="308"/>
      <c r="F12" s="326"/>
      <c r="G12" s="308"/>
      <c r="H12" s="318"/>
      <c r="I12" s="308"/>
      <c r="J12" s="326"/>
      <c r="K12" s="308"/>
      <c r="L12" s="326"/>
      <c r="M12" s="308"/>
    </row>
    <row r="13" spans="1:17" x14ac:dyDescent="0.25">
      <c r="A13" s="323"/>
      <c r="B13" s="323"/>
      <c r="C13" s="78">
        <v>15</v>
      </c>
      <c r="D13" s="299" t="s">
        <v>72</v>
      </c>
      <c r="E13" s="308"/>
      <c r="F13" s="326">
        <f>SUM(E13:E14)</f>
        <v>0</v>
      </c>
      <c r="G13" s="308"/>
      <c r="H13" s="316">
        <f>SUM(G13:G17)</f>
        <v>0</v>
      </c>
      <c r="I13" s="308"/>
      <c r="J13" s="326">
        <f>SUM(I13:I14)</f>
        <v>0</v>
      </c>
      <c r="K13" s="308"/>
      <c r="L13" s="326">
        <f>SUM(K13:K14)</f>
        <v>0</v>
      </c>
      <c r="M13" s="308"/>
    </row>
    <row r="14" spans="1:17" x14ac:dyDescent="0.25">
      <c r="A14" s="323"/>
      <c r="B14" s="323"/>
      <c r="C14" s="78">
        <v>15</v>
      </c>
      <c r="D14" s="299" t="s">
        <v>71</v>
      </c>
      <c r="E14" s="308"/>
      <c r="F14" s="326"/>
      <c r="G14" s="308"/>
      <c r="H14" s="317"/>
      <c r="I14" s="308"/>
      <c r="J14" s="326"/>
      <c r="K14" s="308"/>
      <c r="L14" s="326"/>
      <c r="M14" s="308"/>
    </row>
    <row r="15" spans="1:17" x14ac:dyDescent="0.25">
      <c r="A15" s="323"/>
      <c r="B15" s="323"/>
      <c r="C15" s="78">
        <v>15</v>
      </c>
      <c r="D15" s="299" t="s">
        <v>76</v>
      </c>
      <c r="E15" s="308"/>
      <c r="F15" s="326">
        <f>SUM(E15:E18)</f>
        <v>0</v>
      </c>
      <c r="G15" s="308"/>
      <c r="H15" s="317"/>
      <c r="I15" s="308"/>
      <c r="J15" s="326">
        <f>SUM(I15:I18)</f>
        <v>0</v>
      </c>
      <c r="K15" s="308"/>
      <c r="L15" s="326">
        <f>SUM(K15:K18)</f>
        <v>0</v>
      </c>
      <c r="M15" s="308"/>
    </row>
    <row r="16" spans="1:17" x14ac:dyDescent="0.25">
      <c r="A16" s="323"/>
      <c r="B16" s="323"/>
      <c r="C16" s="78">
        <v>15</v>
      </c>
      <c r="D16" s="299" t="s">
        <v>75</v>
      </c>
      <c r="E16" s="308"/>
      <c r="F16" s="326"/>
      <c r="G16" s="308"/>
      <c r="H16" s="317"/>
      <c r="I16" s="308"/>
      <c r="J16" s="326"/>
      <c r="K16" s="308"/>
      <c r="L16" s="326"/>
      <c r="M16" s="308"/>
    </row>
    <row r="17" spans="1:13" x14ac:dyDescent="0.25">
      <c r="A17" s="323"/>
      <c r="B17" s="323"/>
      <c r="C17" s="78">
        <v>15</v>
      </c>
      <c r="D17" s="299" t="s">
        <v>74</v>
      </c>
      <c r="E17" s="308"/>
      <c r="F17" s="326"/>
      <c r="G17" s="308"/>
      <c r="H17" s="318"/>
      <c r="I17" s="308"/>
      <c r="J17" s="326"/>
      <c r="K17" s="308"/>
      <c r="L17" s="326"/>
      <c r="M17" s="308"/>
    </row>
    <row r="18" spans="1:13" x14ac:dyDescent="0.25">
      <c r="A18" s="323"/>
      <c r="B18" s="323"/>
      <c r="C18" s="78">
        <v>16</v>
      </c>
      <c r="D18" s="299" t="s">
        <v>73</v>
      </c>
      <c r="E18" s="308"/>
      <c r="F18" s="326"/>
      <c r="G18" s="308"/>
      <c r="H18" s="119"/>
      <c r="I18" s="308"/>
      <c r="J18" s="326"/>
      <c r="K18" s="308"/>
      <c r="L18" s="326"/>
      <c r="M18" s="308"/>
    </row>
    <row r="19" spans="1:13" x14ac:dyDescent="0.25">
      <c r="A19" s="323"/>
      <c r="B19" s="323"/>
      <c r="C19" s="78">
        <v>16</v>
      </c>
      <c r="D19" s="299" t="s">
        <v>77</v>
      </c>
      <c r="E19" s="308"/>
      <c r="F19" s="119"/>
      <c r="G19" s="308"/>
      <c r="H19" s="119"/>
      <c r="I19" s="308"/>
      <c r="J19" s="119"/>
      <c r="K19" s="308"/>
      <c r="L19" s="119"/>
      <c r="M19" s="308"/>
    </row>
    <row r="20" spans="1:13" x14ac:dyDescent="0.25">
      <c r="A20" s="323"/>
      <c r="B20" s="323"/>
      <c r="C20" s="78">
        <v>17</v>
      </c>
      <c r="D20" s="299" t="s">
        <v>78</v>
      </c>
      <c r="E20" s="308"/>
      <c r="F20" s="119"/>
      <c r="G20" s="308"/>
      <c r="H20" s="119"/>
      <c r="I20" s="308"/>
      <c r="J20" s="119"/>
      <c r="K20" s="308"/>
      <c r="L20" s="119"/>
      <c r="M20" s="308"/>
    </row>
    <row r="21" spans="1:13" x14ac:dyDescent="0.25">
      <c r="A21" s="323"/>
      <c r="B21" s="323"/>
      <c r="C21" s="78">
        <v>17</v>
      </c>
      <c r="D21" s="299" t="s">
        <v>98</v>
      </c>
      <c r="E21" s="308"/>
      <c r="F21" s="326">
        <f>SUM(E21:E26)</f>
        <v>0</v>
      </c>
      <c r="G21" s="308"/>
      <c r="H21" s="316">
        <f>SUM(G21:G26)</f>
        <v>0</v>
      </c>
      <c r="I21" s="308"/>
      <c r="J21" s="326">
        <f>SUM(I21:I26)</f>
        <v>0</v>
      </c>
      <c r="K21" s="308"/>
      <c r="L21" s="326">
        <f>SUM(K21:K26)</f>
        <v>0</v>
      </c>
      <c r="M21" s="308"/>
    </row>
    <row r="22" spans="1:13" x14ac:dyDescent="0.25">
      <c r="A22" s="323"/>
      <c r="B22" s="323"/>
      <c r="C22" s="78">
        <v>18</v>
      </c>
      <c r="D22" s="299" t="s">
        <v>80</v>
      </c>
      <c r="E22" s="308"/>
      <c r="F22" s="326"/>
      <c r="G22" s="308"/>
      <c r="H22" s="317"/>
      <c r="I22" s="308"/>
      <c r="J22" s="326"/>
      <c r="K22" s="308"/>
      <c r="L22" s="326"/>
      <c r="M22" s="308"/>
    </row>
    <row r="23" spans="1:13" x14ac:dyDescent="0.25">
      <c r="A23" s="323"/>
      <c r="B23" s="323"/>
      <c r="C23" s="78">
        <v>18</v>
      </c>
      <c r="D23" s="299" t="s">
        <v>79</v>
      </c>
      <c r="E23" s="308"/>
      <c r="F23" s="326"/>
      <c r="G23" s="308"/>
      <c r="H23" s="317"/>
      <c r="I23" s="308"/>
      <c r="J23" s="326"/>
      <c r="K23" s="308"/>
      <c r="L23" s="326"/>
      <c r="M23" s="308"/>
    </row>
    <row r="24" spans="1:13" x14ac:dyDescent="0.25">
      <c r="A24" s="323"/>
      <c r="B24" s="323"/>
      <c r="C24" s="78">
        <v>19</v>
      </c>
      <c r="D24" s="299" t="s">
        <v>93</v>
      </c>
      <c r="E24" s="308"/>
      <c r="F24" s="326"/>
      <c r="G24" s="308"/>
      <c r="H24" s="318"/>
      <c r="I24" s="308"/>
      <c r="J24" s="326"/>
      <c r="K24" s="308"/>
      <c r="L24" s="326"/>
      <c r="M24" s="308"/>
    </row>
    <row r="25" spans="1:13" x14ac:dyDescent="0.25">
      <c r="A25" s="323"/>
      <c r="B25" s="323"/>
      <c r="C25" s="78">
        <v>19</v>
      </c>
      <c r="D25" s="299" t="s">
        <v>82</v>
      </c>
      <c r="E25" s="308"/>
      <c r="F25" s="326"/>
      <c r="G25" s="308"/>
      <c r="H25" s="316">
        <f>SUM(G25:G28)</f>
        <v>0</v>
      </c>
      <c r="I25" s="308"/>
      <c r="J25" s="326"/>
      <c r="K25" s="308"/>
      <c r="L25" s="326"/>
      <c r="M25" s="308"/>
    </row>
    <row r="26" spans="1:13" x14ac:dyDescent="0.25">
      <c r="A26" s="323"/>
      <c r="B26" s="323"/>
      <c r="C26" s="78">
        <v>20</v>
      </c>
      <c r="D26" s="299" t="s">
        <v>81</v>
      </c>
      <c r="E26" s="308"/>
      <c r="F26" s="326"/>
      <c r="G26" s="308"/>
      <c r="H26" s="317"/>
      <c r="I26" s="308"/>
      <c r="J26" s="326"/>
      <c r="K26" s="308"/>
      <c r="L26" s="326"/>
      <c r="M26" s="308"/>
    </row>
    <row r="27" spans="1:13" x14ac:dyDescent="0.25">
      <c r="A27" s="323"/>
      <c r="B27" s="323"/>
      <c r="C27" s="78">
        <v>20</v>
      </c>
      <c r="D27" s="299" t="s">
        <v>84</v>
      </c>
      <c r="E27" s="308"/>
      <c r="F27" s="326">
        <f>SUM(E27:E28)</f>
        <v>0</v>
      </c>
      <c r="G27" s="308"/>
      <c r="H27" s="317"/>
      <c r="I27" s="308"/>
      <c r="J27" s="326">
        <f>SUM(I27:I28)</f>
        <v>0</v>
      </c>
      <c r="K27" s="308"/>
      <c r="L27" s="326">
        <f>SUM(K27:K28)</f>
        <v>0</v>
      </c>
      <c r="M27" s="308"/>
    </row>
    <row r="28" spans="1:13" x14ac:dyDescent="0.25">
      <c r="A28" s="323"/>
      <c r="B28" s="323"/>
      <c r="C28" s="78">
        <v>80</v>
      </c>
      <c r="D28" s="299" t="s">
        <v>83</v>
      </c>
      <c r="E28" s="308"/>
      <c r="F28" s="326"/>
      <c r="G28" s="308"/>
      <c r="H28" s="318"/>
      <c r="I28" s="308"/>
      <c r="J28" s="326"/>
      <c r="K28" s="308"/>
      <c r="L28" s="326"/>
      <c r="M28" s="308"/>
    </row>
    <row r="29" spans="1:13" x14ac:dyDescent="0.25">
      <c r="A29" s="323"/>
      <c r="B29" s="323"/>
      <c r="C29" s="78">
        <v>81</v>
      </c>
      <c r="D29" s="299" t="s">
        <v>85</v>
      </c>
      <c r="E29" s="308"/>
      <c r="F29" s="326">
        <f>SUM(E29:E30)</f>
        <v>0</v>
      </c>
      <c r="G29" s="308"/>
      <c r="H29" s="316">
        <f>SUM(G29:G33)</f>
        <v>0</v>
      </c>
      <c r="I29" s="308"/>
      <c r="J29" s="326">
        <f>SUM(I29:I30)</f>
        <v>0</v>
      </c>
      <c r="K29" s="308"/>
      <c r="L29" s="326">
        <f>SUM(K29:K30)</f>
        <v>0</v>
      </c>
      <c r="M29" s="308"/>
    </row>
    <row r="30" spans="1:13" x14ac:dyDescent="0.25">
      <c r="A30" s="323"/>
      <c r="B30" s="323"/>
      <c r="C30" s="78">
        <v>82</v>
      </c>
      <c r="D30" s="299" t="s">
        <v>97</v>
      </c>
      <c r="E30" s="308"/>
      <c r="F30" s="326"/>
      <c r="G30" s="308"/>
      <c r="H30" s="317"/>
      <c r="I30" s="308"/>
      <c r="J30" s="326"/>
      <c r="K30" s="308"/>
      <c r="L30" s="326"/>
      <c r="M30" s="308"/>
    </row>
    <row r="31" spans="1:13" x14ac:dyDescent="0.25">
      <c r="A31" s="323"/>
      <c r="B31" s="323"/>
      <c r="C31" s="78">
        <v>83</v>
      </c>
      <c r="D31" s="299" t="s">
        <v>96</v>
      </c>
      <c r="E31" s="308"/>
      <c r="F31" s="326">
        <f>SUM(E31:E34)</f>
        <v>0</v>
      </c>
      <c r="G31" s="308"/>
      <c r="H31" s="317"/>
      <c r="I31" s="308"/>
      <c r="J31" s="316">
        <f>SUM(I31:I33)</f>
        <v>0</v>
      </c>
      <c r="K31" s="308"/>
      <c r="L31" s="326">
        <f>SUM(K31:K34)</f>
        <v>0</v>
      </c>
      <c r="M31" s="308"/>
    </row>
    <row r="32" spans="1:13" x14ac:dyDescent="0.25">
      <c r="A32" s="323"/>
      <c r="B32" s="323"/>
      <c r="C32" s="78">
        <v>83</v>
      </c>
      <c r="D32" s="299" t="s">
        <v>95</v>
      </c>
      <c r="E32" s="308"/>
      <c r="F32" s="326"/>
      <c r="G32" s="308"/>
      <c r="H32" s="317"/>
      <c r="I32" s="308"/>
      <c r="J32" s="317"/>
      <c r="K32" s="308"/>
      <c r="L32" s="326"/>
      <c r="M32" s="308"/>
    </row>
    <row r="33" spans="1:13" x14ac:dyDescent="0.25">
      <c r="A33" s="323"/>
      <c r="B33" s="323"/>
      <c r="C33" s="78">
        <v>86</v>
      </c>
      <c r="D33" s="299" t="s">
        <v>86</v>
      </c>
      <c r="E33" s="308"/>
      <c r="F33" s="326"/>
      <c r="G33" s="308"/>
      <c r="H33" s="318"/>
      <c r="I33" s="308"/>
      <c r="J33" s="318"/>
      <c r="K33" s="308"/>
      <c r="L33" s="326"/>
      <c r="M33" s="308"/>
    </row>
    <row r="34" spans="1:13" ht="14.4" thickBot="1" x14ac:dyDescent="0.3">
      <c r="A34" s="323"/>
      <c r="B34" s="323"/>
      <c r="C34" s="78"/>
      <c r="D34" s="299" t="s">
        <v>94</v>
      </c>
      <c r="E34" s="309"/>
      <c r="F34" s="326"/>
      <c r="G34" s="309"/>
      <c r="H34" s="119"/>
      <c r="I34" s="309"/>
      <c r="J34" s="301"/>
      <c r="K34" s="309"/>
      <c r="L34" s="326"/>
      <c r="M34" s="309"/>
    </row>
    <row r="35" spans="1:13" ht="15" thickTop="1" thickBot="1" x14ac:dyDescent="0.3">
      <c r="A35" s="323"/>
      <c r="B35" s="323"/>
      <c r="C35" s="78"/>
      <c r="D35" s="83"/>
      <c r="E35" s="297"/>
      <c r="F35" s="102"/>
      <c r="G35" s="297"/>
      <c r="H35" s="112"/>
      <c r="I35" s="297"/>
      <c r="J35" s="102"/>
      <c r="K35" s="297"/>
      <c r="L35" s="102"/>
      <c r="M35" s="306"/>
    </row>
    <row r="36" spans="1:13" ht="16.2" thickBot="1" x14ac:dyDescent="0.35">
      <c r="A36" s="323"/>
      <c r="B36" s="323"/>
      <c r="C36" s="78"/>
      <c r="D36" s="86" t="s">
        <v>99</v>
      </c>
      <c r="E36" s="305">
        <f>SUM(E2:E35)</f>
        <v>0</v>
      </c>
      <c r="F36" s="88"/>
      <c r="G36" s="127"/>
      <c r="H36" s="127"/>
      <c r="I36" s="127"/>
      <c r="J36" s="88"/>
      <c r="K36" s="88"/>
      <c r="L36" s="88"/>
      <c r="M36" s="89"/>
    </row>
    <row r="37" spans="1:13" ht="14.4" thickTop="1" x14ac:dyDescent="0.25">
      <c r="A37" s="323"/>
      <c r="B37" s="323"/>
      <c r="C37" s="78"/>
      <c r="D37" s="300" t="s">
        <v>87</v>
      </c>
      <c r="E37" s="307"/>
      <c r="F37" s="317">
        <f>SUM(E37:E38)</f>
        <v>0</v>
      </c>
      <c r="G37" s="307"/>
      <c r="H37" s="119"/>
      <c r="I37" s="307"/>
      <c r="J37" s="320">
        <f>SUM(I37:I38)</f>
        <v>0</v>
      </c>
      <c r="K37" s="103"/>
      <c r="L37" s="103"/>
      <c r="M37" s="85"/>
    </row>
    <row r="38" spans="1:13" x14ac:dyDescent="0.25">
      <c r="A38" s="323"/>
      <c r="B38" s="323"/>
      <c r="C38" s="78"/>
      <c r="D38" s="299" t="s">
        <v>88</v>
      </c>
      <c r="E38" s="310"/>
      <c r="F38" s="318"/>
      <c r="G38" s="308"/>
      <c r="H38" s="119"/>
      <c r="I38" s="308"/>
      <c r="J38" s="321"/>
      <c r="K38" s="104"/>
      <c r="L38" s="104"/>
      <c r="M38" s="79"/>
    </row>
    <row r="39" spans="1:13" x14ac:dyDescent="0.25">
      <c r="A39" s="323"/>
      <c r="B39" s="323"/>
      <c r="C39" s="78"/>
      <c r="D39" s="299" t="s">
        <v>89</v>
      </c>
      <c r="E39" s="310"/>
      <c r="F39" s="119"/>
      <c r="G39" s="308"/>
      <c r="H39" s="119"/>
      <c r="I39" s="308"/>
      <c r="J39" s="302"/>
      <c r="K39" s="104"/>
      <c r="L39" s="104"/>
      <c r="M39" s="79"/>
    </row>
    <row r="40" spans="1:13" x14ac:dyDescent="0.25">
      <c r="A40" s="323"/>
      <c r="B40" s="323"/>
      <c r="C40" s="78"/>
      <c r="D40" s="299" t="s">
        <v>90</v>
      </c>
      <c r="E40" s="310"/>
      <c r="F40" s="119"/>
      <c r="G40" s="308"/>
      <c r="H40" s="119"/>
      <c r="I40" s="308"/>
      <c r="J40" s="302"/>
      <c r="K40" s="104"/>
      <c r="L40" s="104"/>
      <c r="M40" s="79"/>
    </row>
    <row r="41" spans="1:13" x14ac:dyDescent="0.25">
      <c r="A41" s="323"/>
      <c r="B41" s="323"/>
      <c r="C41" s="78"/>
      <c r="D41" s="299" t="s">
        <v>91</v>
      </c>
      <c r="E41" s="310"/>
      <c r="F41" s="316">
        <f>SUM(E41:E43)</f>
        <v>0</v>
      </c>
      <c r="G41" s="308"/>
      <c r="H41" s="119"/>
      <c r="I41" s="308"/>
      <c r="J41" s="319">
        <f>SUM(I41:I43)</f>
        <v>0</v>
      </c>
      <c r="K41" s="104"/>
      <c r="L41" s="104"/>
      <c r="M41" s="79"/>
    </row>
    <row r="42" spans="1:13" x14ac:dyDescent="0.25">
      <c r="A42" s="323"/>
      <c r="B42" s="323"/>
      <c r="C42" s="78"/>
      <c r="D42" s="299" t="s">
        <v>100</v>
      </c>
      <c r="E42" s="310"/>
      <c r="F42" s="317"/>
      <c r="G42" s="308"/>
      <c r="H42" s="119"/>
      <c r="I42" s="308"/>
      <c r="J42" s="320"/>
      <c r="K42" s="104"/>
      <c r="L42" s="104"/>
      <c r="M42" s="79"/>
    </row>
    <row r="43" spans="1:13" ht="14.4" thickBot="1" x14ac:dyDescent="0.3">
      <c r="A43" s="323"/>
      <c r="B43" s="323"/>
      <c r="C43" s="78"/>
      <c r="D43" s="299" t="s">
        <v>101</v>
      </c>
      <c r="E43" s="311"/>
      <c r="F43" s="318"/>
      <c r="G43" s="309"/>
      <c r="H43" s="119"/>
      <c r="I43" s="309"/>
      <c r="J43" s="321"/>
      <c r="K43" s="104"/>
      <c r="L43" s="104"/>
      <c r="M43" s="79"/>
    </row>
    <row r="44" spans="1:13" ht="15" thickTop="1" thickBot="1" x14ac:dyDescent="0.3">
      <c r="A44" s="323"/>
      <c r="B44" s="323"/>
      <c r="C44" s="78"/>
      <c r="D44" s="83" t="s">
        <v>105</v>
      </c>
      <c r="E44" s="297">
        <f>SUM(E37:E43)</f>
        <v>0</v>
      </c>
      <c r="F44" s="102"/>
      <c r="G44" s="297"/>
      <c r="H44" s="112"/>
      <c r="I44" s="297"/>
      <c r="J44" s="102"/>
      <c r="K44" s="102"/>
      <c r="L44" s="102"/>
      <c r="M44" s="84"/>
    </row>
    <row r="45" spans="1:13" x14ac:dyDescent="0.25">
      <c r="A45" s="323"/>
      <c r="B45" s="323"/>
      <c r="C45" s="78"/>
      <c r="D45" s="97" t="s">
        <v>104</v>
      </c>
      <c r="E45" s="98">
        <f>F31+F29+F15+F13</f>
        <v>0</v>
      </c>
      <c r="F45" s="98">
        <f t="shared" ref="F45:H45" si="0">G31+G29+G15+G13</f>
        <v>0</v>
      </c>
      <c r="G45" s="98">
        <f t="shared" si="0"/>
        <v>0</v>
      </c>
      <c r="H45" s="98">
        <f t="shared" si="0"/>
        <v>0</v>
      </c>
      <c r="I45" s="98">
        <f>J31+J29+J15+J13</f>
        <v>0</v>
      </c>
      <c r="J45" s="98"/>
      <c r="K45" s="98">
        <f>L31+L29+L15+L13</f>
        <v>0</v>
      </c>
      <c r="L45" s="98"/>
      <c r="M45" s="99"/>
    </row>
    <row r="46" spans="1:13" x14ac:dyDescent="0.25">
      <c r="A46" s="323"/>
      <c r="B46" s="323"/>
      <c r="C46" s="78"/>
      <c r="D46" s="100" t="s">
        <v>102</v>
      </c>
      <c r="E46" s="104">
        <f>F27+E26+E25+F11+E10+E9</f>
        <v>0</v>
      </c>
      <c r="F46" s="122">
        <f t="shared" ref="F46:H46" si="1">G27+F26+F25+G11+F10+F9</f>
        <v>0</v>
      </c>
      <c r="G46" s="122">
        <f t="shared" si="1"/>
        <v>0</v>
      </c>
      <c r="H46" s="122">
        <f t="shared" si="1"/>
        <v>0</v>
      </c>
      <c r="I46" s="104">
        <f>J27+I26+I25+J11+I10+I9</f>
        <v>0</v>
      </c>
      <c r="J46" s="104"/>
      <c r="K46" s="104">
        <f>L27+K26+K25+L11+K10+K9</f>
        <v>0</v>
      </c>
      <c r="L46" s="104"/>
      <c r="M46" s="79"/>
    </row>
    <row r="47" spans="1:13" x14ac:dyDescent="0.25">
      <c r="A47" s="323"/>
      <c r="B47" s="323"/>
      <c r="C47" s="78"/>
      <c r="D47" s="100" t="s">
        <v>103</v>
      </c>
      <c r="E47" s="104">
        <f>E24+E23+E22+E21+E8+E7+E6+E5</f>
        <v>0</v>
      </c>
      <c r="F47" s="122">
        <f t="shared" ref="F47:H47" si="2">F24+F23+F22+F21+F8+F7+F6+F5</f>
        <v>0</v>
      </c>
      <c r="G47" s="122">
        <f t="shared" si="2"/>
        <v>0</v>
      </c>
      <c r="H47" s="122">
        <f t="shared" si="2"/>
        <v>0</v>
      </c>
      <c r="I47" s="104">
        <f>I24+I23+I22+I21+I8+I7+I6+I5</f>
        <v>0</v>
      </c>
      <c r="J47" s="104"/>
      <c r="K47" s="104">
        <f>K24+K23+K22+K21+K8+K7+K6+K5</f>
        <v>0</v>
      </c>
      <c r="L47" s="104"/>
      <c r="M47" s="79"/>
    </row>
    <row r="48" spans="1:13" x14ac:dyDescent="0.25">
      <c r="A48" s="324"/>
      <c r="B48" s="324"/>
      <c r="C48" s="78"/>
      <c r="D48" s="100" t="s">
        <v>123</v>
      </c>
      <c r="E48" s="119">
        <f>(E33+E32+E31+E30+E29+E17+E16+E15+E14+E13)</f>
        <v>0</v>
      </c>
      <c r="F48" s="119">
        <f t="shared" ref="F48:H48" si="3">(F33+F32+F31+F30+F29+F17+F16+F15+F14+F13)</f>
        <v>0</v>
      </c>
      <c r="G48" s="119">
        <f t="shared" si="3"/>
        <v>0</v>
      </c>
      <c r="H48" s="119">
        <f t="shared" si="3"/>
        <v>0</v>
      </c>
      <c r="I48" s="119">
        <f>(I33+I32+I31+I30+I29+I17+I16+I15+I14+I13)</f>
        <v>0</v>
      </c>
      <c r="J48" s="119"/>
      <c r="K48" s="119"/>
      <c r="L48" s="119"/>
      <c r="M48" s="120"/>
    </row>
    <row r="49" spans="1:13" ht="14.4" thickBot="1" x14ac:dyDescent="0.3">
      <c r="A49" s="325"/>
      <c r="B49" s="325"/>
      <c r="C49" s="80"/>
      <c r="D49" s="101" t="s">
        <v>105</v>
      </c>
      <c r="E49" s="81">
        <f>SUM(E45:E47)</f>
        <v>0</v>
      </c>
      <c r="F49" s="81"/>
      <c r="G49" s="81"/>
      <c r="H49" s="81"/>
      <c r="I49" s="81"/>
      <c r="J49" s="81"/>
      <c r="K49" s="81"/>
      <c r="L49" s="81"/>
      <c r="M49" s="82"/>
    </row>
    <row r="50" spans="1:13" ht="14.4" thickTop="1" x14ac:dyDescent="0.25"/>
  </sheetData>
  <mergeCells count="36">
    <mergeCell ref="L27:L28"/>
    <mergeCell ref="L29:L30"/>
    <mergeCell ref="L31:L34"/>
    <mergeCell ref="J5:J10"/>
    <mergeCell ref="J11:J12"/>
    <mergeCell ref="J13:J14"/>
    <mergeCell ref="J15:J18"/>
    <mergeCell ref="J21:J26"/>
    <mergeCell ref="J27:J28"/>
    <mergeCell ref="L5:L10"/>
    <mergeCell ref="L11:L12"/>
    <mergeCell ref="L13:L14"/>
    <mergeCell ref="L15:L18"/>
    <mergeCell ref="L21:L26"/>
    <mergeCell ref="F41:F43"/>
    <mergeCell ref="J41:J43"/>
    <mergeCell ref="F37:F38"/>
    <mergeCell ref="J37:J38"/>
    <mergeCell ref="A2:A49"/>
    <mergeCell ref="B2:B49"/>
    <mergeCell ref="J29:J30"/>
    <mergeCell ref="F15:F18"/>
    <mergeCell ref="F13:F14"/>
    <mergeCell ref="F11:F12"/>
    <mergeCell ref="F5:F10"/>
    <mergeCell ref="F31:F34"/>
    <mergeCell ref="F29:F30"/>
    <mergeCell ref="F27:F28"/>
    <mergeCell ref="F21:F26"/>
    <mergeCell ref="H9:H12"/>
    <mergeCell ref="H5:H8"/>
    <mergeCell ref="J31:J33"/>
    <mergeCell ref="H29:H33"/>
    <mergeCell ref="H25:H28"/>
    <mergeCell ref="H21:H24"/>
    <mergeCell ref="H13:H17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74"/>
  <sheetViews>
    <sheetView zoomScale="90" zoomScaleNormal="90" workbookViewId="0">
      <selection activeCell="G21" sqref="G21"/>
    </sheetView>
  </sheetViews>
  <sheetFormatPr baseColWidth="10" defaultColWidth="11.44140625" defaultRowHeight="24.9" customHeight="1" x14ac:dyDescent="0.25"/>
  <cols>
    <col min="1" max="5" width="11.44140625" style="2"/>
    <col min="6" max="6" width="72.5546875" style="2" customWidth="1"/>
    <col min="7" max="8" width="11.44140625" style="2"/>
    <col min="9" max="9" width="24.109375" style="2" customWidth="1"/>
    <col min="10" max="10" width="10.109375" style="39" hidden="1" customWidth="1"/>
    <col min="11" max="11" width="22.5546875" style="2" customWidth="1"/>
    <col min="12" max="12" width="8.88671875" style="39" hidden="1" customWidth="1"/>
    <col min="13" max="13" width="25.6640625" style="2" customWidth="1"/>
    <col min="14" max="14" width="2.109375" style="2" hidden="1" customWidth="1"/>
    <col min="15" max="15" width="11.44140625" style="2"/>
    <col min="16" max="16" width="17.5546875" style="2" bestFit="1" customWidth="1"/>
    <col min="17" max="16384" width="11.44140625" style="2"/>
  </cols>
  <sheetData>
    <row r="1" spans="1:17" s="1" customFormat="1" ht="24.9" customHeight="1" x14ac:dyDescent="0.25">
      <c r="B1" s="1" t="s">
        <v>10</v>
      </c>
      <c r="J1" s="34"/>
      <c r="L1" s="34"/>
    </row>
    <row r="2" spans="1:17" s="1" customFormat="1" ht="24.9" customHeight="1" x14ac:dyDescent="0.25">
      <c r="J2" s="34"/>
      <c r="L2" s="34"/>
    </row>
    <row r="3" spans="1:17" s="1" customFormat="1" ht="24.9" customHeight="1" x14ac:dyDescent="0.25">
      <c r="B3" s="327" t="s">
        <v>459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7" ht="24.9" customHeight="1" x14ac:dyDescent="0.25">
      <c r="I4" s="17"/>
      <c r="J4" s="35"/>
      <c r="K4" s="17"/>
      <c r="L4" s="35"/>
      <c r="M4" s="17"/>
    </row>
    <row r="5" spans="1:17" ht="24.9" customHeight="1" thickBot="1" x14ac:dyDescent="0.3">
      <c r="B5" s="8" t="s">
        <v>15</v>
      </c>
      <c r="C5" s="8"/>
      <c r="D5" s="8"/>
      <c r="E5" s="8"/>
      <c r="F5" s="8"/>
      <c r="G5" s="8"/>
      <c r="H5" s="5"/>
      <c r="I5" s="5"/>
      <c r="J5" s="36"/>
      <c r="K5" s="5"/>
      <c r="L5" s="36"/>
      <c r="M5" s="5"/>
    </row>
    <row r="6" spans="1:17" ht="24.9" customHeight="1" thickBot="1" x14ac:dyDescent="0.3">
      <c r="B6" s="8"/>
      <c r="C6" s="8"/>
      <c r="D6" s="8"/>
      <c r="E6" s="8"/>
      <c r="F6" s="8"/>
      <c r="G6" s="187" t="s">
        <v>11</v>
      </c>
      <c r="H6" s="5"/>
      <c r="I6" s="189" t="s">
        <v>22</v>
      </c>
      <c r="J6" s="171"/>
      <c r="K6" s="87" t="s">
        <v>23</v>
      </c>
      <c r="L6" s="171"/>
      <c r="M6" s="190" t="s">
        <v>24</v>
      </c>
      <c r="P6" s="3"/>
    </row>
    <row r="7" spans="1:17" ht="24.9" customHeight="1" x14ac:dyDescent="0.25">
      <c r="A7" s="2" t="s">
        <v>125</v>
      </c>
      <c r="B7" s="8" t="s">
        <v>463</v>
      </c>
      <c r="C7" s="8"/>
      <c r="D7" s="8"/>
      <c r="E7" s="8"/>
      <c r="F7" s="8"/>
      <c r="G7" s="186" t="s">
        <v>469</v>
      </c>
      <c r="H7" s="5"/>
      <c r="I7" s="164">
        <f>IF($G$7="O",1,0)</f>
        <v>1</v>
      </c>
      <c r="J7" s="142"/>
      <c r="K7" s="131">
        <f t="shared" ref="K7:M7" si="0">IF($G$7="O",1,0)</f>
        <v>1</v>
      </c>
      <c r="L7" s="142"/>
      <c r="M7" s="165">
        <f t="shared" si="0"/>
        <v>1</v>
      </c>
    </row>
    <row r="8" spans="1:17" ht="24.9" customHeight="1" thickBot="1" x14ac:dyDescent="0.3">
      <c r="A8" s="2" t="s">
        <v>126</v>
      </c>
      <c r="B8" s="8" t="s">
        <v>26</v>
      </c>
      <c r="C8" s="8"/>
      <c r="D8" s="8"/>
      <c r="E8" s="8"/>
      <c r="F8" s="8"/>
      <c r="G8" s="157" t="s">
        <v>470</v>
      </c>
      <c r="H8" s="5"/>
      <c r="I8" s="161">
        <f>IF($G$8="O",1,0)</f>
        <v>0</v>
      </c>
      <c r="J8" s="151"/>
      <c r="K8" s="162">
        <f t="shared" ref="K8:M9" si="1">IF($G$8="O",1,0)</f>
        <v>0</v>
      </c>
      <c r="L8" s="151"/>
      <c r="M8" s="163">
        <f t="shared" si="1"/>
        <v>0</v>
      </c>
      <c r="P8" s="2" t="s">
        <v>113</v>
      </c>
      <c r="Q8" s="2">
        <f>IF($M$17="validé",9,IF($K$17="validé",6,IF($I$17="validé",3,0)))</f>
        <v>0</v>
      </c>
    </row>
    <row r="9" spans="1:17" ht="24.9" customHeight="1" thickBot="1" x14ac:dyDescent="0.3">
      <c r="B9" s="8" t="s">
        <v>464</v>
      </c>
      <c r="C9" s="8"/>
      <c r="D9" s="8"/>
      <c r="E9" s="8"/>
      <c r="F9" s="8"/>
      <c r="G9" s="157"/>
      <c r="H9" s="5"/>
      <c r="I9" s="161">
        <f>IF($G$8="O",1,0)</f>
        <v>0</v>
      </c>
      <c r="J9" s="44"/>
      <c r="K9" s="162">
        <f t="shared" si="1"/>
        <v>0</v>
      </c>
      <c r="L9" s="44"/>
      <c r="M9" s="163">
        <f t="shared" si="1"/>
        <v>0</v>
      </c>
    </row>
    <row r="10" spans="1:17" ht="24.9" customHeight="1" thickBot="1" x14ac:dyDescent="0.3">
      <c r="B10" s="9"/>
      <c r="C10" s="9"/>
      <c r="D10" s="9"/>
      <c r="E10" s="9"/>
      <c r="F10" s="9"/>
      <c r="G10" s="10"/>
      <c r="H10" s="6"/>
      <c r="I10" s="6"/>
      <c r="K10" s="6"/>
      <c r="M10" s="6"/>
      <c r="P10" s="2" t="s">
        <v>114</v>
      </c>
      <c r="Q10" s="2">
        <f>IF($M$30="validé",9,IF($K$30="validé",6,IF($I$30="validé",3,0)))</f>
        <v>0</v>
      </c>
    </row>
    <row r="11" spans="1:17" ht="24.9" customHeight="1" thickBot="1" x14ac:dyDescent="0.3">
      <c r="B11" s="9"/>
      <c r="C11" s="8"/>
      <c r="D11" s="8"/>
      <c r="E11" s="8"/>
      <c r="F11" s="8"/>
      <c r="G11" s="187" t="s">
        <v>12</v>
      </c>
      <c r="H11" s="5"/>
      <c r="I11" s="18"/>
      <c r="J11" s="130"/>
      <c r="K11" s="18"/>
      <c r="L11" s="130"/>
      <c r="M11" s="18"/>
      <c r="P11" s="2" t="s">
        <v>115</v>
      </c>
      <c r="Q11" s="2">
        <f>IF($M$38="validé",9,IF($K$38="validé",6,IF($I$38="validé",3,0)))</f>
        <v>0</v>
      </c>
    </row>
    <row r="12" spans="1:17" ht="24.9" customHeight="1" x14ac:dyDescent="0.25">
      <c r="A12" s="2" t="s">
        <v>127</v>
      </c>
      <c r="B12" s="8" t="s">
        <v>131</v>
      </c>
      <c r="C12" s="8"/>
      <c r="D12" s="8"/>
      <c r="E12" s="8"/>
      <c r="F12" s="8"/>
      <c r="G12" s="186"/>
      <c r="H12" s="5"/>
      <c r="I12" s="166">
        <f>IF(G12&gt;=10,1,0)</f>
        <v>0</v>
      </c>
      <c r="J12" s="144"/>
      <c r="K12" s="167">
        <f>IF(G12&gt;=20,1,0)</f>
        <v>0</v>
      </c>
      <c r="L12" s="144"/>
      <c r="M12" s="168">
        <f>IF(G12&gt;=20,1,0)</f>
        <v>0</v>
      </c>
      <c r="P12" s="2" t="s">
        <v>116</v>
      </c>
      <c r="Q12" s="2">
        <f>IF($M$71="validé",9,IF($K$71="validé","6",IF($I$71="validé",3,0)))</f>
        <v>0</v>
      </c>
    </row>
    <row r="13" spans="1:17" ht="24.9" customHeight="1" x14ac:dyDescent="0.25">
      <c r="A13" s="2" t="s">
        <v>128</v>
      </c>
      <c r="B13" s="8" t="s">
        <v>132</v>
      </c>
      <c r="C13" s="8"/>
      <c r="D13" s="8"/>
      <c r="E13" s="8"/>
      <c r="F13" s="8"/>
      <c r="G13" s="156"/>
      <c r="H13" s="5"/>
      <c r="I13" s="159">
        <f t="shared" ref="I13:I14" si="2">IF(G13&gt;=10,1,0)</f>
        <v>0</v>
      </c>
      <c r="J13" s="38"/>
      <c r="K13" s="129">
        <f t="shared" ref="K13:K14" si="3">IF(G13&gt;=20,1,0)</f>
        <v>0</v>
      </c>
      <c r="L13" s="38"/>
      <c r="M13" s="160">
        <f t="shared" ref="M13:M14" si="4">IF(G13&gt;=20,1,0)</f>
        <v>0</v>
      </c>
    </row>
    <row r="14" spans="1:17" ht="24.9" customHeight="1" x14ac:dyDescent="0.25">
      <c r="A14" s="2" t="s">
        <v>129</v>
      </c>
      <c r="B14" s="8" t="s">
        <v>133</v>
      </c>
      <c r="C14" s="8"/>
      <c r="D14" s="8"/>
      <c r="E14" s="8"/>
      <c r="F14" s="8"/>
      <c r="G14" s="156"/>
      <c r="H14" s="5"/>
      <c r="I14" s="159">
        <f t="shared" si="2"/>
        <v>0</v>
      </c>
      <c r="J14" s="38"/>
      <c r="K14" s="129">
        <f t="shared" si="3"/>
        <v>0</v>
      </c>
      <c r="L14" s="38"/>
      <c r="M14" s="160">
        <f t="shared" si="4"/>
        <v>0</v>
      </c>
    </row>
    <row r="15" spans="1:17" ht="24.9" customHeight="1" thickBot="1" x14ac:dyDescent="0.3">
      <c r="A15" s="2" t="s">
        <v>130</v>
      </c>
      <c r="B15" s="8" t="s">
        <v>134</v>
      </c>
      <c r="C15" s="8"/>
      <c r="D15" s="8"/>
      <c r="E15" s="8"/>
      <c r="F15" s="8"/>
      <c r="G15" s="157"/>
      <c r="H15" s="5"/>
      <c r="I15" s="161">
        <f>IF(G15&gt;=10,1,0)</f>
        <v>0</v>
      </c>
      <c r="J15" s="169"/>
      <c r="K15" s="162">
        <f>IF(G15&gt;=30,1,0)</f>
        <v>0</v>
      </c>
      <c r="L15" s="151"/>
      <c r="M15" s="163">
        <f>IF(G15&gt;=45,1,0)</f>
        <v>0</v>
      </c>
    </row>
    <row r="16" spans="1:17" ht="24.9" customHeight="1" thickBot="1" x14ac:dyDescent="0.3">
      <c r="B16" s="9"/>
      <c r="C16" s="8"/>
      <c r="D16" s="8"/>
      <c r="E16" s="8"/>
      <c r="F16" s="8"/>
      <c r="G16" s="24"/>
      <c r="H16" s="5"/>
      <c r="I16" s="18"/>
      <c r="J16" s="35"/>
      <c r="K16" s="18"/>
      <c r="L16" s="35"/>
      <c r="M16" s="18"/>
      <c r="P16" s="312"/>
    </row>
    <row r="17" spans="1:15" ht="24.9" customHeight="1" thickBot="1" x14ac:dyDescent="0.3">
      <c r="B17" s="9"/>
      <c r="C17" s="9"/>
      <c r="D17" s="9"/>
      <c r="E17" s="9"/>
      <c r="F17" s="9"/>
      <c r="G17" s="334" t="s">
        <v>25</v>
      </c>
      <c r="H17" s="335"/>
      <c r="I17" s="170" t="str">
        <f>IF(SUM(I7+I8+I12+I13+I14+I15)=6,"validé", "non validé")</f>
        <v>non validé</v>
      </c>
      <c r="J17" s="171">
        <f>IF(I17="validé",1,0)</f>
        <v>0</v>
      </c>
      <c r="K17" s="170" t="str">
        <f>IF(SUM(K7:K15)=7,"validé", "non validé")</f>
        <v>non validé</v>
      </c>
      <c r="L17" s="171">
        <f>IF(K17="validé",1,0)</f>
        <v>0</v>
      </c>
      <c r="M17" s="172" t="str">
        <f>IF(SUM(M7:M15)=7,"validé", "non validé")</f>
        <v>non validé</v>
      </c>
    </row>
    <row r="18" spans="1:15" ht="24.9" customHeight="1" x14ac:dyDescent="0.25">
      <c r="N18" s="37">
        <f>IF(M17="validé",1,0)</f>
        <v>0</v>
      </c>
    </row>
    <row r="19" spans="1:15" ht="24.9" customHeight="1" thickBot="1" x14ac:dyDescent="0.3">
      <c r="B19" s="7" t="s">
        <v>13</v>
      </c>
      <c r="C19" s="7"/>
      <c r="D19" s="7"/>
      <c r="E19" s="7"/>
      <c r="F19" s="7"/>
      <c r="G19" s="7"/>
      <c r="H19" s="7"/>
      <c r="I19" s="7"/>
      <c r="J19" s="36"/>
      <c r="K19" s="7"/>
      <c r="L19" s="36"/>
      <c r="M19" s="7"/>
    </row>
    <row r="20" spans="1:15" ht="24.9" customHeight="1" thickBot="1" x14ac:dyDescent="0.3">
      <c r="B20" s="7"/>
      <c r="C20" s="7"/>
      <c r="D20" s="7"/>
      <c r="E20" s="7"/>
      <c r="F20" s="7"/>
      <c r="G20" s="188" t="s">
        <v>12</v>
      </c>
      <c r="H20" s="7"/>
      <c r="I20" s="189" t="s">
        <v>22</v>
      </c>
      <c r="J20" s="171"/>
      <c r="K20" s="87" t="s">
        <v>23</v>
      </c>
      <c r="L20" s="171"/>
      <c r="M20" s="190" t="s">
        <v>24</v>
      </c>
    </row>
    <row r="21" spans="1:15" ht="24.9" customHeight="1" x14ac:dyDescent="0.25">
      <c r="A21" s="2" t="s">
        <v>135</v>
      </c>
      <c r="B21" s="7" t="s">
        <v>143</v>
      </c>
      <c r="C21" s="7"/>
      <c r="D21" s="7"/>
      <c r="E21" s="7"/>
      <c r="F21" s="7"/>
      <c r="G21" s="185"/>
      <c r="H21" s="7"/>
      <c r="I21" s="182">
        <f>IF(G21&gt;0,1,0)</f>
        <v>0</v>
      </c>
      <c r="J21" s="183"/>
      <c r="K21" s="46">
        <f>IF($G$21&gt;=2,1,0)</f>
        <v>0</v>
      </c>
      <c r="L21" s="183"/>
      <c r="M21" s="184">
        <f>IF($G$21&gt;=2,1,0)</f>
        <v>0</v>
      </c>
    </row>
    <row r="22" spans="1:15" ht="24.9" customHeight="1" x14ac:dyDescent="0.25">
      <c r="A22" s="2" t="s">
        <v>136</v>
      </c>
      <c r="B22" s="7" t="s">
        <v>144</v>
      </c>
      <c r="C22" s="7"/>
      <c r="D22" s="7"/>
      <c r="E22" s="7"/>
      <c r="F22" s="7"/>
      <c r="G22" s="173"/>
      <c r="H22" s="7"/>
      <c r="I22" s="178"/>
      <c r="J22" s="41"/>
      <c r="K22" s="128">
        <f>IF($G$22&gt;0,1,0)</f>
        <v>0</v>
      </c>
      <c r="L22" s="37"/>
      <c r="M22" s="177">
        <f>IF($G$22&gt;0,1,0)</f>
        <v>0</v>
      </c>
    </row>
    <row r="23" spans="1:15" ht="24.9" customHeight="1" x14ac:dyDescent="0.25">
      <c r="A23" s="2" t="s">
        <v>137</v>
      </c>
      <c r="B23" s="7" t="s">
        <v>145</v>
      </c>
      <c r="C23" s="7"/>
      <c r="D23" s="7"/>
      <c r="E23" s="7"/>
      <c r="F23" s="7"/>
      <c r="G23" s="173"/>
      <c r="H23" s="7"/>
      <c r="I23" s="178"/>
      <c r="J23" s="41"/>
      <c r="K23" s="128">
        <f>IF($G$23&gt;0,1,0)</f>
        <v>0</v>
      </c>
      <c r="L23" s="37"/>
      <c r="M23" s="177">
        <f>IF($G$23&gt;0,1,0)</f>
        <v>0</v>
      </c>
    </row>
    <row r="24" spans="1:15" ht="24.9" customHeight="1" x14ac:dyDescent="0.25">
      <c r="A24" s="2" t="s">
        <v>138</v>
      </c>
      <c r="B24" s="7" t="s">
        <v>146</v>
      </c>
      <c r="C24" s="7"/>
      <c r="D24" s="7"/>
      <c r="E24" s="7"/>
      <c r="F24" s="7"/>
      <c r="G24" s="173"/>
      <c r="H24" s="7"/>
      <c r="I24" s="178"/>
      <c r="J24" s="41"/>
      <c r="K24" s="128">
        <f>IF($G$24&gt;0,1,0)</f>
        <v>0</v>
      </c>
      <c r="L24" s="37"/>
      <c r="M24" s="177">
        <f>IF($G$24&gt;0,1,0)</f>
        <v>0</v>
      </c>
    </row>
    <row r="25" spans="1:15" ht="24.9" customHeight="1" x14ac:dyDescent="0.25">
      <c r="A25" s="2" t="s">
        <v>139</v>
      </c>
      <c r="B25" s="7" t="s">
        <v>31</v>
      </c>
      <c r="C25" s="7"/>
      <c r="D25" s="7"/>
      <c r="E25" s="7"/>
      <c r="F25" s="7"/>
      <c r="G25" s="173"/>
      <c r="H25" s="7"/>
      <c r="I25" s="176">
        <f>IF(G25&gt;0,1,0)</f>
        <v>0</v>
      </c>
      <c r="J25" s="128"/>
      <c r="K25" s="128">
        <f>IF(G25&gt;0,1,0)</f>
        <v>0</v>
      </c>
      <c r="L25" s="128"/>
      <c r="M25" s="177">
        <f>IF(G25&gt;0,1,0)</f>
        <v>0</v>
      </c>
    </row>
    <row r="26" spans="1:15" ht="24.9" customHeight="1" thickBot="1" x14ac:dyDescent="0.3">
      <c r="A26" s="2" t="s">
        <v>140</v>
      </c>
      <c r="B26" s="7" t="s">
        <v>32</v>
      </c>
      <c r="C26" s="7"/>
      <c r="D26" s="7"/>
      <c r="E26" s="7"/>
      <c r="F26" s="7"/>
      <c r="G26" s="174"/>
      <c r="H26" s="7"/>
      <c r="I26" s="179"/>
      <c r="J26" s="180"/>
      <c r="K26" s="180">
        <f>IF(G26&gt;0,1,0)</f>
        <v>0</v>
      </c>
      <c r="L26" s="180"/>
      <c r="M26" s="181">
        <f>IF(G26&gt;0,1,0)</f>
        <v>0</v>
      </c>
      <c r="O26" s="31"/>
    </row>
    <row r="27" spans="1:15" ht="24.9" customHeight="1" thickBot="1" x14ac:dyDescent="0.3">
      <c r="A27" s="2" t="s">
        <v>141</v>
      </c>
      <c r="B27" s="7" t="s">
        <v>33</v>
      </c>
      <c r="C27" s="7"/>
      <c r="D27" s="7"/>
      <c r="E27" s="7"/>
      <c r="F27" s="7"/>
      <c r="G27" s="19"/>
      <c r="H27" s="7"/>
      <c r="I27" s="19"/>
      <c r="J27" s="35"/>
      <c r="K27" s="19"/>
      <c r="L27" s="35"/>
      <c r="M27" s="19"/>
      <c r="O27" s="31"/>
    </row>
    <row r="28" spans="1:15" ht="24.9" customHeight="1" thickBot="1" x14ac:dyDescent="0.3">
      <c r="B28" s="7" t="s">
        <v>34</v>
      </c>
      <c r="C28" s="7"/>
      <c r="D28" s="7"/>
      <c r="E28" s="7"/>
      <c r="F28" s="7"/>
      <c r="G28" s="175"/>
      <c r="H28" s="7"/>
      <c r="I28" s="191"/>
      <c r="J28" s="192"/>
      <c r="K28" s="193"/>
      <c r="L28" s="192"/>
      <c r="M28" s="194">
        <f>IF(G28&gt;0,1,0)</f>
        <v>0</v>
      </c>
      <c r="O28" s="31"/>
    </row>
    <row r="29" spans="1:15" ht="24.9" customHeight="1" thickBot="1" x14ac:dyDescent="0.3">
      <c r="B29" s="7"/>
      <c r="C29" s="7"/>
      <c r="D29" s="7"/>
      <c r="E29" s="7"/>
      <c r="F29" s="7"/>
      <c r="G29" s="19"/>
      <c r="H29" s="7"/>
      <c r="I29" s="19"/>
      <c r="J29" s="35"/>
      <c r="K29" s="19"/>
      <c r="L29" s="35"/>
      <c r="M29" s="19"/>
      <c r="O29" s="31"/>
    </row>
    <row r="30" spans="1:15" ht="24.9" customHeight="1" thickBot="1" x14ac:dyDescent="0.3">
      <c r="B30" s="7"/>
      <c r="C30" s="7"/>
      <c r="D30" s="7"/>
      <c r="E30" s="7"/>
      <c r="F30" s="7"/>
      <c r="G30" s="332" t="s">
        <v>25</v>
      </c>
      <c r="H30" s="333"/>
      <c r="I30" s="195" t="str">
        <f>IF(AND(I21=1,I25=1),"validé","non validé")</f>
        <v>non validé</v>
      </c>
      <c r="J30" s="171">
        <f>IF(I30="validé",1,0)</f>
        <v>0</v>
      </c>
      <c r="K30" s="195" t="str">
        <f>IF(AND(K21=1,K22=1,K25=1,K26=1,OR(K23=1,K24=1)),"validé", "non validé")</f>
        <v>non validé</v>
      </c>
      <c r="L30" s="171">
        <f>IF(K30="validé",1,0)</f>
        <v>0</v>
      </c>
      <c r="M30" s="196" t="str">
        <f>IF(SUM(M21:M28)=7,"validé", "non validé")</f>
        <v>non validé</v>
      </c>
    </row>
    <row r="31" spans="1:15" ht="24.9" customHeight="1" x14ac:dyDescent="0.25">
      <c r="B31" s="16"/>
      <c r="C31" s="16"/>
      <c r="D31" s="16"/>
      <c r="E31" s="16"/>
      <c r="F31" s="16"/>
      <c r="G31" s="16"/>
      <c r="N31" s="37">
        <f>IF(M30="validé",1,0)</f>
        <v>0</v>
      </c>
    </row>
    <row r="32" spans="1:15" ht="24.9" customHeight="1" thickBot="1" x14ac:dyDescent="0.3">
      <c r="B32" s="11" t="s">
        <v>14</v>
      </c>
      <c r="C32" s="11"/>
      <c r="D32" s="11"/>
      <c r="E32" s="11"/>
      <c r="F32" s="11"/>
      <c r="G32" s="11"/>
      <c r="H32" s="11"/>
      <c r="I32" s="11"/>
      <c r="J32" s="36"/>
      <c r="K32" s="11"/>
      <c r="L32" s="36"/>
      <c r="M32" s="11"/>
    </row>
    <row r="33" spans="1:16" ht="24.9" customHeight="1" thickBot="1" x14ac:dyDescent="0.3">
      <c r="B33" s="11"/>
      <c r="C33" s="11"/>
      <c r="D33" s="11"/>
      <c r="E33" s="11"/>
      <c r="F33" s="11"/>
      <c r="G33" s="200" t="s">
        <v>11</v>
      </c>
      <c r="H33" s="11"/>
      <c r="I33" s="189" t="s">
        <v>22</v>
      </c>
      <c r="J33" s="171"/>
      <c r="K33" s="87" t="s">
        <v>23</v>
      </c>
      <c r="L33" s="171"/>
      <c r="M33" s="190" t="s">
        <v>24</v>
      </c>
    </row>
    <row r="34" spans="1:16" ht="24.9" customHeight="1" x14ac:dyDescent="0.25">
      <c r="A34" s="2" t="s">
        <v>147</v>
      </c>
      <c r="B34" s="11" t="s">
        <v>465</v>
      </c>
      <c r="C34" s="11"/>
      <c r="D34" s="11"/>
      <c r="E34" s="11"/>
      <c r="F34" s="11"/>
      <c r="G34" s="199"/>
      <c r="H34" s="11"/>
      <c r="I34" s="201">
        <f>IF($G$34="O",1,0)</f>
        <v>0</v>
      </c>
      <c r="J34" s="158"/>
      <c r="K34" s="202">
        <f t="shared" ref="K34:M34" si="5">IF($G$34="O",1,0)</f>
        <v>0</v>
      </c>
      <c r="L34" s="158"/>
      <c r="M34" s="203">
        <f t="shared" si="5"/>
        <v>0</v>
      </c>
    </row>
    <row r="35" spans="1:16" ht="24.9" customHeight="1" x14ac:dyDescent="0.25">
      <c r="A35" s="2" t="s">
        <v>148</v>
      </c>
      <c r="B35" s="11" t="s">
        <v>466</v>
      </c>
      <c r="C35" s="11"/>
      <c r="D35" s="11"/>
      <c r="E35" s="11"/>
      <c r="F35" s="11"/>
      <c r="G35" s="197"/>
      <c r="H35" s="11"/>
      <c r="I35" s="204">
        <f>IF($G$35="O",1,0)</f>
        <v>0</v>
      </c>
      <c r="J35" s="37"/>
      <c r="K35" s="132">
        <f t="shared" ref="K35:M35" si="6">IF($G$35="O",1,0)</f>
        <v>0</v>
      </c>
      <c r="L35" s="37"/>
      <c r="M35" s="205">
        <f t="shared" si="6"/>
        <v>0</v>
      </c>
    </row>
    <row r="36" spans="1:16" ht="24.9" customHeight="1" thickBot="1" x14ac:dyDescent="0.3">
      <c r="A36" s="2" t="s">
        <v>149</v>
      </c>
      <c r="B36" s="11" t="s">
        <v>467</v>
      </c>
      <c r="C36" s="11"/>
      <c r="D36" s="11"/>
      <c r="E36" s="11"/>
      <c r="F36" s="11"/>
      <c r="G36" s="198"/>
      <c r="H36" s="11"/>
      <c r="I36" s="206">
        <f>IF($G$36="O",1,0)</f>
        <v>0</v>
      </c>
      <c r="J36" s="207"/>
      <c r="K36" s="208">
        <f t="shared" ref="K36:M36" si="7">IF($G$36="O",1,0)</f>
        <v>0</v>
      </c>
      <c r="L36" s="207"/>
      <c r="M36" s="209">
        <f t="shared" si="7"/>
        <v>0</v>
      </c>
    </row>
    <row r="37" spans="1:16" ht="24.9" customHeight="1" thickBot="1" x14ac:dyDescent="0.3">
      <c r="B37" s="11"/>
      <c r="C37" s="11"/>
      <c r="D37" s="11"/>
      <c r="E37" s="11"/>
      <c r="F37" s="11"/>
      <c r="G37" s="20"/>
      <c r="H37" s="11"/>
      <c r="I37" s="20"/>
      <c r="J37" s="35"/>
      <c r="K37" s="20"/>
      <c r="L37" s="35"/>
      <c r="M37" s="20"/>
    </row>
    <row r="38" spans="1:16" ht="24.9" customHeight="1" thickBot="1" x14ac:dyDescent="0.3">
      <c r="B38" s="11"/>
      <c r="C38" s="11"/>
      <c r="D38" s="11"/>
      <c r="E38" s="11"/>
      <c r="F38" s="11"/>
      <c r="G38" s="330" t="s">
        <v>25</v>
      </c>
      <c r="H38" s="331"/>
      <c r="I38" s="210" t="str">
        <f>IF(SUM(I34:I36)=3,"validé", "non validé")</f>
        <v>non validé</v>
      </c>
      <c r="J38" s="171">
        <f>IF(I38="validé",1,0)</f>
        <v>0</v>
      </c>
      <c r="K38" s="211" t="str">
        <f t="shared" ref="K38" si="8">IF(SUM(K34:K36)=3,"validé", "non validé")</f>
        <v>non validé</v>
      </c>
      <c r="L38" s="171">
        <f>IF(K38="validé",1,0)</f>
        <v>0</v>
      </c>
      <c r="M38" s="212" t="str">
        <f t="shared" ref="M38" si="9">IF(SUM(M34:M36)=3,"validé", "non validé")</f>
        <v>non validé</v>
      </c>
    </row>
    <row r="39" spans="1:16" ht="24.9" customHeight="1" x14ac:dyDescent="0.25">
      <c r="N39" s="37">
        <f>IF(M38="validé",1,0)</f>
        <v>0</v>
      </c>
      <c r="P39" s="91"/>
    </row>
    <row r="40" spans="1:16" ht="24.9" customHeight="1" thickBot="1" x14ac:dyDescent="0.3">
      <c r="B40" s="14" t="s">
        <v>16</v>
      </c>
      <c r="C40" s="14"/>
      <c r="D40" s="14"/>
      <c r="E40" s="14"/>
      <c r="F40" s="14"/>
      <c r="G40" s="14"/>
      <c r="H40" s="13"/>
      <c r="I40" s="13"/>
      <c r="J40" s="36"/>
      <c r="K40" s="13"/>
      <c r="L40" s="36"/>
      <c r="M40" s="13"/>
    </row>
    <row r="41" spans="1:16" ht="24.9" customHeight="1" thickBot="1" x14ac:dyDescent="0.3">
      <c r="B41" s="14"/>
      <c r="C41" s="14"/>
      <c r="D41" s="14"/>
      <c r="E41" s="14"/>
      <c r="F41" s="14"/>
      <c r="G41" s="213" t="s">
        <v>11</v>
      </c>
      <c r="H41" s="13"/>
      <c r="I41" s="189" t="s">
        <v>22</v>
      </c>
      <c r="J41" s="171"/>
      <c r="K41" s="87" t="s">
        <v>23</v>
      </c>
      <c r="L41" s="171"/>
      <c r="M41" s="190" t="s">
        <v>24</v>
      </c>
    </row>
    <row r="42" spans="1:16" ht="24.9" customHeight="1" thickBot="1" x14ac:dyDescent="0.3">
      <c r="A42" s="2" t="s">
        <v>135</v>
      </c>
      <c r="B42" s="14" t="s">
        <v>27</v>
      </c>
      <c r="C42" s="14"/>
      <c r="D42" s="14"/>
      <c r="E42" s="14"/>
      <c r="F42" s="14"/>
      <c r="G42" s="27"/>
      <c r="H42" s="13"/>
      <c r="I42" s="23"/>
      <c r="J42" s="45"/>
      <c r="K42" s="23"/>
      <c r="L42" s="45"/>
      <c r="M42" s="23"/>
    </row>
    <row r="43" spans="1:16" ht="24.9" customHeight="1" x14ac:dyDescent="0.25">
      <c r="B43" s="14"/>
      <c r="C43" s="14"/>
      <c r="D43" s="14"/>
      <c r="E43" s="14" t="s">
        <v>17</v>
      </c>
      <c r="F43" s="14"/>
      <c r="G43" s="140"/>
      <c r="H43" s="13"/>
      <c r="I43" s="143">
        <f>IF(G43="O",1,IF(G44="O",1,IF(G45="O",1,0)))</f>
        <v>0</v>
      </c>
      <c r="J43" s="144"/>
      <c r="K43" s="215"/>
      <c r="L43" s="216"/>
      <c r="M43" s="217"/>
    </row>
    <row r="44" spans="1:16" ht="24.9" customHeight="1" x14ac:dyDescent="0.25">
      <c r="B44" s="14"/>
      <c r="C44" s="14"/>
      <c r="D44" s="14"/>
      <c r="E44" s="14" t="s">
        <v>18</v>
      </c>
      <c r="F44" s="14"/>
      <c r="G44" s="214"/>
      <c r="H44" s="13"/>
      <c r="I44" s="218"/>
      <c r="J44" s="40"/>
      <c r="K44" s="15">
        <f>IF(G43="O",1,IF(G44="O",1,IF(G45="O",1,0)))</f>
        <v>0</v>
      </c>
      <c r="L44" s="38"/>
      <c r="M44" s="219"/>
    </row>
    <row r="45" spans="1:16" ht="24.9" customHeight="1" thickBot="1" x14ac:dyDescent="0.3">
      <c r="B45" s="14"/>
      <c r="C45" s="14"/>
      <c r="D45" s="14"/>
      <c r="E45" s="14" t="s">
        <v>19</v>
      </c>
      <c r="F45" s="14"/>
      <c r="G45" s="141"/>
      <c r="H45" s="13"/>
      <c r="I45" s="220"/>
      <c r="J45" s="169"/>
      <c r="K45" s="221"/>
      <c r="L45" s="169"/>
      <c r="M45" s="152">
        <f>IF(G45="O",1,0)</f>
        <v>0</v>
      </c>
    </row>
    <row r="46" spans="1:16" ht="24.9" customHeight="1" thickBot="1" x14ac:dyDescent="0.3">
      <c r="B46" s="14"/>
      <c r="C46" s="14"/>
      <c r="D46" s="14"/>
      <c r="E46" s="14"/>
      <c r="F46" s="14"/>
      <c r="G46" s="21"/>
      <c r="H46" s="13"/>
      <c r="I46" s="14"/>
      <c r="J46" s="42"/>
      <c r="K46" s="14"/>
      <c r="L46" s="42"/>
      <c r="M46" s="14"/>
    </row>
    <row r="47" spans="1:16" ht="24.9" customHeight="1" x14ac:dyDescent="0.25">
      <c r="A47" s="2" t="s">
        <v>136</v>
      </c>
      <c r="B47" s="14" t="s">
        <v>468</v>
      </c>
      <c r="C47" s="14"/>
      <c r="D47" s="14"/>
      <c r="E47" s="14"/>
      <c r="F47" s="14"/>
      <c r="G47" s="140"/>
      <c r="H47" s="13"/>
      <c r="I47" s="143">
        <f>IF($G$47="O",1,0)</f>
        <v>0</v>
      </c>
      <c r="J47" s="144"/>
      <c r="K47" s="154">
        <f t="shared" ref="K47:M47" si="10">IF($G$47="O",1,0)</f>
        <v>0</v>
      </c>
      <c r="L47" s="144"/>
      <c r="M47" s="222">
        <f t="shared" si="10"/>
        <v>0</v>
      </c>
    </row>
    <row r="48" spans="1:16" ht="24.9" customHeight="1" x14ac:dyDescent="0.25">
      <c r="A48" s="2" t="s">
        <v>137</v>
      </c>
      <c r="B48" s="14" t="s">
        <v>28</v>
      </c>
      <c r="C48" s="14"/>
      <c r="D48" s="14"/>
      <c r="E48" s="14"/>
      <c r="F48" s="14"/>
      <c r="G48" s="214"/>
      <c r="H48" s="13"/>
      <c r="I48" s="223">
        <f>IF($G$48="O",1,0)</f>
        <v>0</v>
      </c>
      <c r="J48" s="38"/>
      <c r="K48" s="15">
        <f t="shared" ref="K48:M48" si="11">IF($G$48="O",1,0)</f>
        <v>0</v>
      </c>
      <c r="L48" s="38"/>
      <c r="M48" s="224">
        <f t="shared" si="11"/>
        <v>0</v>
      </c>
    </row>
    <row r="49" spans="1:15" ht="24.9" customHeight="1" x14ac:dyDescent="0.25">
      <c r="A49" s="2" t="s">
        <v>138</v>
      </c>
      <c r="B49" s="14" t="s">
        <v>29</v>
      </c>
      <c r="C49" s="14"/>
      <c r="D49" s="14"/>
      <c r="E49" s="14"/>
      <c r="F49" s="14"/>
      <c r="G49" s="214"/>
      <c r="H49" s="13"/>
      <c r="I49" s="223">
        <f>IF($G$49="O",1,0)</f>
        <v>0</v>
      </c>
      <c r="J49" s="38"/>
      <c r="K49" s="15">
        <f>IF($G$49="O",1,0)</f>
        <v>0</v>
      </c>
      <c r="L49" s="38"/>
      <c r="M49" s="224">
        <f>IF($G$49="O",1,0)</f>
        <v>0</v>
      </c>
    </row>
    <row r="50" spans="1:15" ht="24.9" customHeight="1" thickBot="1" x14ac:dyDescent="0.3">
      <c r="A50" s="2" t="s">
        <v>139</v>
      </c>
      <c r="B50" s="14" t="s">
        <v>30</v>
      </c>
      <c r="C50" s="14"/>
      <c r="D50" s="14"/>
      <c r="E50" s="14"/>
      <c r="F50" s="14"/>
      <c r="G50" s="141"/>
      <c r="H50" s="13"/>
      <c r="I50" s="225">
        <f>IF($G$50="O",1,0)</f>
        <v>0</v>
      </c>
      <c r="J50" s="151"/>
      <c r="K50" s="150">
        <f t="shared" ref="K50:M50" si="12">IF($G$50="O",1,0)</f>
        <v>0</v>
      </c>
      <c r="L50" s="151"/>
      <c r="M50" s="152">
        <f t="shared" si="12"/>
        <v>0</v>
      </c>
    </row>
    <row r="51" spans="1:15" ht="24.9" customHeight="1" thickBot="1" x14ac:dyDescent="0.3">
      <c r="B51" s="14"/>
      <c r="C51" s="14"/>
      <c r="D51" s="14"/>
      <c r="E51" s="14"/>
      <c r="F51" s="14"/>
      <c r="G51" s="14"/>
      <c r="H51" s="13"/>
      <c r="I51" s="14"/>
      <c r="J51" s="42"/>
      <c r="K51" s="14"/>
      <c r="L51" s="42"/>
      <c r="M51" s="14"/>
      <c r="O51" s="31"/>
    </row>
    <row r="52" spans="1:15" ht="24.9" customHeight="1" thickBot="1" x14ac:dyDescent="0.3">
      <c r="A52" s="2" t="s">
        <v>140</v>
      </c>
      <c r="B52" s="14" t="s">
        <v>161</v>
      </c>
      <c r="C52" s="14"/>
      <c r="D52" s="14"/>
      <c r="E52" s="14"/>
      <c r="F52" s="14"/>
      <c r="G52" s="213"/>
      <c r="H52" s="13"/>
      <c r="I52" s="226">
        <f>IF($G$52="O",1,0)</f>
        <v>0</v>
      </c>
      <c r="J52" s="227"/>
      <c r="K52" s="228">
        <f t="shared" ref="K52:M52" si="13">IF($G$52="O",1,0)</f>
        <v>0</v>
      </c>
      <c r="L52" s="227"/>
      <c r="M52" s="229">
        <f t="shared" si="13"/>
        <v>0</v>
      </c>
    </row>
    <row r="53" spans="1:15" ht="24.9" customHeight="1" thickBot="1" x14ac:dyDescent="0.3">
      <c r="A53" s="2" t="s">
        <v>141</v>
      </c>
      <c r="B53" s="14" t="s">
        <v>153</v>
      </c>
      <c r="C53" s="14"/>
      <c r="D53" s="14"/>
      <c r="E53" s="14"/>
      <c r="F53" s="14"/>
      <c r="G53" s="27"/>
      <c r="H53" s="13"/>
      <c r="I53" s="21"/>
      <c r="J53" s="230"/>
      <c r="K53" s="21"/>
      <c r="L53" s="230"/>
      <c r="M53" s="21"/>
    </row>
    <row r="54" spans="1:15" ht="24.9" customHeight="1" x14ac:dyDescent="0.25">
      <c r="B54" s="14"/>
      <c r="C54" s="14"/>
      <c r="D54" s="14"/>
      <c r="E54" s="14" t="s">
        <v>20</v>
      </c>
      <c r="F54" s="14"/>
      <c r="G54" s="140"/>
      <c r="H54" s="13"/>
      <c r="I54" s="143">
        <f>IF(G54="O",1,IF(G55="O",1,0))</f>
        <v>0</v>
      </c>
      <c r="J54" s="144"/>
      <c r="K54" s="145"/>
      <c r="L54" s="146"/>
      <c r="M54" s="147"/>
    </row>
    <row r="55" spans="1:15" ht="24.9" customHeight="1" thickBot="1" x14ac:dyDescent="0.3">
      <c r="B55" s="14"/>
      <c r="C55" s="14"/>
      <c r="D55" s="14"/>
      <c r="E55" s="14" t="s">
        <v>21</v>
      </c>
      <c r="F55" s="14"/>
      <c r="G55" s="141"/>
      <c r="H55" s="13"/>
      <c r="I55" s="148"/>
      <c r="J55" s="149"/>
      <c r="K55" s="150">
        <f>IF($G$55="O",1,0)</f>
        <v>0</v>
      </c>
      <c r="L55" s="151"/>
      <c r="M55" s="152">
        <f>IF($G$55="O",1,0)</f>
        <v>0</v>
      </c>
    </row>
    <row r="56" spans="1:15" ht="24.9" customHeight="1" thickBot="1" x14ac:dyDescent="0.3">
      <c r="A56" s="2" t="s">
        <v>142</v>
      </c>
      <c r="B56" s="14" t="s">
        <v>154</v>
      </c>
      <c r="C56" s="14"/>
      <c r="D56" s="14"/>
      <c r="E56" s="14"/>
      <c r="F56" s="14"/>
      <c r="G56" s="27"/>
      <c r="H56" s="13"/>
      <c r="I56" s="21"/>
      <c r="J56" s="230"/>
      <c r="K56" s="21"/>
      <c r="L56" s="230"/>
      <c r="M56" s="21"/>
    </row>
    <row r="57" spans="1:15" ht="24.9" customHeight="1" x14ac:dyDescent="0.25">
      <c r="B57" s="14"/>
      <c r="C57" s="14"/>
      <c r="D57" s="14"/>
      <c r="E57" s="14" t="s">
        <v>20</v>
      </c>
      <c r="F57" s="14"/>
      <c r="G57" s="140"/>
      <c r="H57" s="13"/>
      <c r="I57" s="143">
        <f>IF(G57="O",1,IF(G58="O",1,0))</f>
        <v>0</v>
      </c>
      <c r="J57" s="144"/>
      <c r="K57" s="145"/>
      <c r="L57" s="146"/>
      <c r="M57" s="147"/>
    </row>
    <row r="58" spans="1:15" ht="24.9" customHeight="1" thickBot="1" x14ac:dyDescent="0.3">
      <c r="B58" s="14"/>
      <c r="C58" s="14"/>
      <c r="D58" s="14"/>
      <c r="E58" s="14" t="s">
        <v>158</v>
      </c>
      <c r="F58" s="14"/>
      <c r="G58" s="141"/>
      <c r="H58" s="13"/>
      <c r="I58" s="148"/>
      <c r="J58" s="149"/>
      <c r="K58" s="150">
        <f>IF($G$58="O",1,0)</f>
        <v>0</v>
      </c>
      <c r="L58" s="151"/>
      <c r="M58" s="152">
        <f>IF($G$58="O",1,0)</f>
        <v>0</v>
      </c>
    </row>
    <row r="59" spans="1:15" ht="24.9" customHeight="1" thickBot="1" x14ac:dyDescent="0.3">
      <c r="A59" s="2" t="s">
        <v>150</v>
      </c>
      <c r="B59" s="14" t="s">
        <v>162</v>
      </c>
      <c r="C59" s="14"/>
      <c r="D59" s="14"/>
      <c r="E59" s="14"/>
      <c r="F59" s="14"/>
      <c r="G59" s="27"/>
      <c r="H59" s="23"/>
      <c r="I59" s="21"/>
      <c r="J59" s="230"/>
      <c r="K59" s="21"/>
      <c r="L59" s="230"/>
      <c r="M59" s="21"/>
    </row>
    <row r="60" spans="1:15" ht="24.9" customHeight="1" x14ac:dyDescent="0.25">
      <c r="B60" s="14"/>
      <c r="C60" s="14"/>
      <c r="D60" s="14"/>
      <c r="E60" s="14" t="s">
        <v>20</v>
      </c>
      <c r="F60" s="14"/>
      <c r="G60" s="140"/>
      <c r="H60" s="13"/>
      <c r="I60" s="143">
        <f>IF(G60="O",1,IF(G61="O",1,0))</f>
        <v>0</v>
      </c>
      <c r="J60" s="144"/>
      <c r="K60" s="145"/>
      <c r="L60" s="146"/>
      <c r="M60" s="147"/>
    </row>
    <row r="61" spans="1:15" ht="24.9" customHeight="1" thickBot="1" x14ac:dyDescent="0.3">
      <c r="B61" s="14"/>
      <c r="C61" s="14"/>
      <c r="D61" s="14"/>
      <c r="E61" s="14" t="s">
        <v>158</v>
      </c>
      <c r="F61" s="14"/>
      <c r="G61" s="141"/>
      <c r="H61" s="13"/>
      <c r="I61" s="148"/>
      <c r="J61" s="149"/>
      <c r="K61" s="150">
        <f>IF($G$61="O",1,0)</f>
        <v>0</v>
      </c>
      <c r="L61" s="151"/>
      <c r="M61" s="152">
        <f>IF($G$61="O",1,0)</f>
        <v>0</v>
      </c>
    </row>
    <row r="62" spans="1:15" ht="24.9" customHeight="1" x14ac:dyDescent="0.25">
      <c r="A62" s="2" t="s">
        <v>151</v>
      </c>
      <c r="B62" s="14" t="s">
        <v>155</v>
      </c>
      <c r="C62" s="14"/>
      <c r="D62" s="14"/>
      <c r="E62" s="14"/>
      <c r="F62" s="14"/>
      <c r="G62" s="140"/>
      <c r="H62" s="13"/>
      <c r="I62" s="153"/>
      <c r="J62" s="146"/>
      <c r="K62" s="154">
        <f>IF(OR($G$62="O",G63="O"),1,0)</f>
        <v>0</v>
      </c>
      <c r="L62" s="144"/>
      <c r="M62" s="147"/>
    </row>
    <row r="63" spans="1:15" ht="24.9" customHeight="1" thickBot="1" x14ac:dyDescent="0.3">
      <c r="B63" s="14"/>
      <c r="C63" s="14"/>
      <c r="D63" s="14"/>
      <c r="E63" s="14" t="s">
        <v>159</v>
      </c>
      <c r="F63" s="14"/>
      <c r="G63" s="141"/>
      <c r="H63" s="13"/>
      <c r="I63" s="148"/>
      <c r="J63" s="149"/>
      <c r="K63" s="155"/>
      <c r="L63" s="151"/>
      <c r="M63" s="152">
        <f>IF(G63="O",1,0)</f>
        <v>0</v>
      </c>
    </row>
    <row r="64" spans="1:15" ht="24.9" customHeight="1" x14ac:dyDescent="0.25">
      <c r="A64" s="2" t="s">
        <v>152</v>
      </c>
      <c r="B64" s="14" t="s">
        <v>156</v>
      </c>
      <c r="C64" s="14"/>
      <c r="D64" s="14"/>
      <c r="E64" s="14"/>
      <c r="F64" s="14"/>
      <c r="G64" s="140"/>
      <c r="H64" s="13"/>
      <c r="I64" s="153"/>
      <c r="J64" s="146"/>
      <c r="K64" s="154">
        <f>IF(OR(G64="O",G65="O"),1,0)</f>
        <v>0</v>
      </c>
      <c r="L64" s="144"/>
      <c r="M64" s="147"/>
    </row>
    <row r="65" spans="1:14" ht="24.9" customHeight="1" thickBot="1" x14ac:dyDescent="0.3">
      <c r="B65" s="14"/>
      <c r="C65" s="14"/>
      <c r="D65" s="14"/>
      <c r="E65" s="14" t="s">
        <v>159</v>
      </c>
      <c r="F65" s="14"/>
      <c r="G65" s="141"/>
      <c r="H65" s="13"/>
      <c r="I65" s="148"/>
      <c r="J65" s="149"/>
      <c r="K65" s="155"/>
      <c r="L65" s="151"/>
      <c r="M65" s="152">
        <f>IF(G65="O",1,0)</f>
        <v>0</v>
      </c>
    </row>
    <row r="66" spans="1:14" ht="24.9" customHeight="1" x14ac:dyDescent="0.25">
      <c r="B66" s="14" t="s">
        <v>157</v>
      </c>
      <c r="C66" s="14"/>
      <c r="D66" s="14"/>
      <c r="E66" s="14"/>
      <c r="F66" s="14"/>
      <c r="G66" s="140"/>
      <c r="H66" s="13"/>
      <c r="I66" s="153"/>
      <c r="J66" s="146"/>
      <c r="K66" s="154">
        <f>IF(OR(G66="O",G67="O"),1,0)</f>
        <v>0</v>
      </c>
      <c r="L66" s="144"/>
      <c r="M66" s="147"/>
    </row>
    <row r="67" spans="1:14" ht="24.9" customHeight="1" thickBot="1" x14ac:dyDescent="0.3">
      <c r="B67" s="14"/>
      <c r="C67" s="14"/>
      <c r="D67" s="14"/>
      <c r="E67" s="14" t="s">
        <v>159</v>
      </c>
      <c r="F67" s="14"/>
      <c r="G67" s="141"/>
      <c r="H67" s="13"/>
      <c r="I67" s="148"/>
      <c r="J67" s="149"/>
      <c r="K67" s="155"/>
      <c r="L67" s="151"/>
      <c r="M67" s="152">
        <f>IF(G67="O",1,0)</f>
        <v>0</v>
      </c>
    </row>
    <row r="68" spans="1:14" ht="24.9" customHeight="1" thickBot="1" x14ac:dyDescent="0.3">
      <c r="B68" s="14"/>
      <c r="C68" s="14"/>
      <c r="D68" s="14"/>
      <c r="E68" s="14"/>
      <c r="F68" s="14"/>
      <c r="G68" s="27"/>
      <c r="H68" s="13"/>
      <c r="I68" s="29"/>
      <c r="J68" s="43"/>
      <c r="K68" s="27"/>
      <c r="L68" s="44"/>
      <c r="M68" s="27"/>
    </row>
    <row r="69" spans="1:14" ht="24.9" customHeight="1" thickBot="1" x14ac:dyDescent="0.3">
      <c r="A69" s="2" t="s">
        <v>160</v>
      </c>
      <c r="B69" s="14" t="s">
        <v>2</v>
      </c>
      <c r="C69" s="14"/>
      <c r="D69" s="14"/>
      <c r="E69" s="14"/>
      <c r="F69" s="14"/>
      <c r="G69" s="213"/>
      <c r="H69" s="13"/>
      <c r="I69" s="231">
        <f>IF($G$69="O",1,0)</f>
        <v>0</v>
      </c>
      <c r="J69" s="232"/>
      <c r="K69" s="233">
        <f t="shared" ref="K69:M69" si="14">IF($G$69="O",1,0)</f>
        <v>0</v>
      </c>
      <c r="L69" s="232"/>
      <c r="M69" s="234">
        <f t="shared" si="14"/>
        <v>0</v>
      </c>
    </row>
    <row r="70" spans="1:14" ht="24.9" customHeight="1" thickBot="1" x14ac:dyDescent="0.3">
      <c r="B70" s="26"/>
      <c r="C70" s="26"/>
      <c r="D70" s="26"/>
      <c r="E70" s="26"/>
      <c r="F70" s="26"/>
      <c r="G70" s="26"/>
      <c r="H70" s="26"/>
      <c r="I70" s="26"/>
      <c r="K70" s="26"/>
      <c r="M70" s="26"/>
    </row>
    <row r="71" spans="1:14" ht="24.9" customHeight="1" thickBot="1" x14ac:dyDescent="0.3">
      <c r="B71" s="26"/>
      <c r="C71" s="26"/>
      <c r="D71" s="26"/>
      <c r="E71" s="26"/>
      <c r="F71" s="26"/>
      <c r="G71" s="336" t="s">
        <v>25</v>
      </c>
      <c r="H71" s="337"/>
      <c r="I71" s="235" t="str">
        <f>IF(SUM(I43:I69)=8,"validé", "non validé")</f>
        <v>non validé</v>
      </c>
      <c r="J71" s="171">
        <f>IF(I71="validé",1,0)</f>
        <v>0</v>
      </c>
      <c r="K71" s="235" t="str">
        <f>IF(AND(SUM(K43:K61)=7,K69=1,K62=1,OR(K64=1,K66=1)),"validé", "non validé")</f>
        <v>non validé</v>
      </c>
      <c r="L71" s="171">
        <f>IF(K71="validé",1,0)</f>
        <v>0</v>
      </c>
      <c r="M71" s="236" t="str">
        <f>IF(SUM(M43:M69)=11,"validé", "non validé")</f>
        <v>non validé</v>
      </c>
    </row>
    <row r="72" spans="1:14" ht="24.9" customHeight="1" thickBot="1" x14ac:dyDescent="0.3">
      <c r="N72" s="37">
        <f>IF(M71="validé",1,0)</f>
        <v>0</v>
      </c>
    </row>
    <row r="73" spans="1:14" ht="24.9" customHeight="1" thickBot="1" x14ac:dyDescent="0.3">
      <c r="F73" s="328" t="s">
        <v>52</v>
      </c>
      <c r="G73" s="329"/>
      <c r="H73" s="329"/>
      <c r="I73" s="237" t="str">
        <f>IF(SUM(J5:J71)=4,"validé","non validé")</f>
        <v>non validé</v>
      </c>
      <c r="J73" s="238"/>
      <c r="K73" s="237" t="str">
        <f>IF(SUM(L5:L71)=4,"validé","non validé")</f>
        <v>non validé</v>
      </c>
      <c r="L73" s="238"/>
      <c r="M73" s="239" t="str">
        <f>IF(SUM(N5:N72)=4,"validé","non validé")</f>
        <v>non validé</v>
      </c>
    </row>
    <row r="74" spans="1:14" ht="24.9" customHeight="1" x14ac:dyDescent="0.25">
      <c r="G74" s="17"/>
      <c r="H74" s="17"/>
      <c r="I74" s="17"/>
      <c r="J74" s="35"/>
      <c r="K74" s="30"/>
      <c r="L74" s="45"/>
      <c r="M74" s="30"/>
    </row>
  </sheetData>
  <mergeCells count="6">
    <mergeCell ref="B3:M3"/>
    <mergeCell ref="F73:H73"/>
    <mergeCell ref="G38:H38"/>
    <mergeCell ref="G30:H30"/>
    <mergeCell ref="G17:H17"/>
    <mergeCell ref="G71:H71"/>
  </mergeCells>
  <printOptions horizontalCentered="1"/>
  <pageMargins left="0.19685039370078741" right="0.27559055118110237" top="0.31496062992125984" bottom="0.39370078740157483" header="0.31496062992125984" footer="0.31496062992125984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85"/>
  <sheetViews>
    <sheetView topLeftCell="A13" zoomScale="90" zoomScaleNormal="90" workbookViewId="0">
      <selection activeCell="L62" sqref="L62:L67"/>
    </sheetView>
  </sheetViews>
  <sheetFormatPr baseColWidth="10" defaultColWidth="11.44140625" defaultRowHeight="24.9" customHeight="1" x14ac:dyDescent="0.25"/>
  <cols>
    <col min="1" max="7" width="11.44140625" style="2"/>
    <col min="8" max="10" width="11.44140625" style="2" customWidth="1"/>
    <col min="11" max="11" width="12.6640625" style="242" customWidth="1"/>
    <col min="12" max="12" width="11.44140625" style="2" customWidth="1"/>
    <col min="13" max="13" width="11.5546875"/>
    <col min="14" max="14" width="0" hidden="1" customWidth="1"/>
    <col min="15" max="15" width="11.5546875"/>
    <col min="16" max="16" width="27" style="2" bestFit="1" customWidth="1"/>
    <col min="17" max="18" width="15.33203125" style="2" hidden="1" customWidth="1"/>
    <col min="19" max="16384" width="11.44140625" style="2"/>
  </cols>
  <sheetData>
    <row r="1" spans="1:19" s="1" customFormat="1" ht="24.9" customHeight="1" x14ac:dyDescent="0.25">
      <c r="A1" s="1" t="s">
        <v>46</v>
      </c>
      <c r="K1" s="241"/>
    </row>
    <row r="2" spans="1:19" s="1" customFormat="1" ht="24.9" customHeight="1" x14ac:dyDescent="0.25">
      <c r="K2" s="241"/>
    </row>
    <row r="3" spans="1:19" s="1" customFormat="1" ht="24.9" customHeight="1" x14ac:dyDescent="0.25">
      <c r="A3" s="363" t="s">
        <v>461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9" s="1" customFormat="1" ht="24.9" customHeight="1" x14ac:dyDescent="0.25">
      <c r="K4" s="241"/>
    </row>
    <row r="5" spans="1:19" ht="11.25" customHeight="1" x14ac:dyDescent="0.25"/>
    <row r="6" spans="1:19" ht="33.75" customHeight="1" thickBot="1" x14ac:dyDescent="0.3">
      <c r="A6" s="274" t="s">
        <v>454</v>
      </c>
      <c r="B6" s="8"/>
      <c r="C6" s="8"/>
      <c r="D6" s="8"/>
      <c r="E6" s="8"/>
      <c r="F6" s="8"/>
      <c r="G6" s="8"/>
      <c r="H6" s="8"/>
      <c r="I6" s="8"/>
      <c r="J6" s="8"/>
      <c r="K6" s="33"/>
      <c r="L6" s="8"/>
      <c r="Q6" s="3"/>
      <c r="R6" s="3"/>
    </row>
    <row r="7" spans="1:19" ht="24.9" customHeight="1" x14ac:dyDescent="0.25">
      <c r="A7" s="275" t="s">
        <v>9</v>
      </c>
      <c r="B7" s="357" t="s">
        <v>224</v>
      </c>
      <c r="C7" s="358"/>
      <c r="D7" s="358"/>
      <c r="E7" s="358"/>
      <c r="F7" s="358"/>
      <c r="G7" s="358"/>
      <c r="H7" s="358"/>
      <c r="I7" s="358"/>
      <c r="J7" s="359"/>
      <c r="K7" s="276" t="s">
        <v>7</v>
      </c>
      <c r="L7" s="277" t="s">
        <v>8</v>
      </c>
    </row>
    <row r="8" spans="1:19" ht="24.9" customHeight="1" x14ac:dyDescent="0.25">
      <c r="A8" s="159" t="s">
        <v>163</v>
      </c>
      <c r="B8" s="354" t="s">
        <v>212</v>
      </c>
      <c r="C8" s="355"/>
      <c r="D8" s="355"/>
      <c r="E8" s="355"/>
      <c r="F8" s="355"/>
      <c r="G8" s="355"/>
      <c r="H8" s="355"/>
      <c r="I8" s="355"/>
      <c r="J8" s="356"/>
      <c r="K8" s="32">
        <f>IFERROR(Données!E45/Données!E36,0)</f>
        <v>0</v>
      </c>
      <c r="L8" s="160">
        <f>IF(K8&gt;=35%,2,IF(K8&gt;=30%,1.5,IF(K8&gt;=25%,1,0)))</f>
        <v>0</v>
      </c>
      <c r="P8" s="4" t="s">
        <v>430</v>
      </c>
      <c r="Q8" s="4">
        <f>SUM(L8:L20)</f>
        <v>6</v>
      </c>
      <c r="R8" s="266">
        <v>1</v>
      </c>
      <c r="S8" s="93">
        <f>Q8*R8</f>
        <v>6</v>
      </c>
    </row>
    <row r="9" spans="1:19" ht="24.9" customHeight="1" x14ac:dyDescent="0.25">
      <c r="A9" s="159" t="s">
        <v>164</v>
      </c>
      <c r="B9" s="354" t="s">
        <v>213</v>
      </c>
      <c r="C9" s="355"/>
      <c r="D9" s="355"/>
      <c r="E9" s="355"/>
      <c r="F9" s="355"/>
      <c r="G9" s="355"/>
      <c r="H9" s="355"/>
      <c r="I9" s="355"/>
      <c r="J9" s="356"/>
      <c r="K9" s="32">
        <f>IFERROR(Données!E46/Données!E36,0)</f>
        <v>0</v>
      </c>
      <c r="L9" s="160">
        <f>IF(K9&gt;=30%,2,IF(K9&gt;=25%,1.5,IF(K9&gt;=20%,1,0)))</f>
        <v>0</v>
      </c>
      <c r="P9" s="107" t="s">
        <v>453</v>
      </c>
      <c r="Q9" s="4">
        <f>SUM(L22:L23)</f>
        <v>0</v>
      </c>
      <c r="R9" s="266">
        <v>2.5</v>
      </c>
      <c r="S9" s="93">
        <f>Q9*R9</f>
        <v>0</v>
      </c>
    </row>
    <row r="10" spans="1:19" ht="24.9" customHeight="1" x14ac:dyDescent="0.25">
      <c r="A10" s="159" t="s">
        <v>165</v>
      </c>
      <c r="B10" s="354" t="s">
        <v>214</v>
      </c>
      <c r="C10" s="355"/>
      <c r="D10" s="355"/>
      <c r="E10" s="355"/>
      <c r="F10" s="355"/>
      <c r="G10" s="355"/>
      <c r="H10" s="355"/>
      <c r="I10" s="355"/>
      <c r="J10" s="356"/>
      <c r="K10" s="32">
        <f>IFERROR(Données!E47/Données!E36,0)</f>
        <v>0</v>
      </c>
      <c r="L10" s="160">
        <f>IF(K10&gt;=25%,2,IF(K10&gt;=20%,1.5,IF(K10&gt;=15%,1,0)))</f>
        <v>0</v>
      </c>
      <c r="P10" s="4" t="s">
        <v>431</v>
      </c>
      <c r="Q10" s="4">
        <f>SUM(L25:L30)</f>
        <v>0</v>
      </c>
      <c r="R10" s="266">
        <v>2.94</v>
      </c>
      <c r="S10" s="93">
        <f t="shared" ref="S10:S13" si="0">Q10*R10</f>
        <v>0</v>
      </c>
    </row>
    <row r="11" spans="1:19" ht="24.9" customHeight="1" x14ac:dyDescent="0.25">
      <c r="A11" s="159" t="s">
        <v>166</v>
      </c>
      <c r="B11" s="354" t="s">
        <v>215</v>
      </c>
      <c r="C11" s="355"/>
      <c r="D11" s="355"/>
      <c r="E11" s="355"/>
      <c r="F11" s="355"/>
      <c r="G11" s="355"/>
      <c r="H11" s="355"/>
      <c r="I11" s="355"/>
      <c r="J11" s="356"/>
      <c r="K11" s="32">
        <f>IFERROR((Données!F31+Données!F29+Données!F27)/(Données!F15+Données!F13+Données!F11),0)</f>
        <v>0</v>
      </c>
      <c r="L11" s="160">
        <f>IF(K11&gt;=10%,2.5,IF(K11&gt;=7%,1.5,IF(K11&gt;=5%,1,0)))</f>
        <v>0</v>
      </c>
      <c r="P11" s="4" t="s">
        <v>432</v>
      </c>
      <c r="Q11" s="4">
        <f>SUM(L32:L46)</f>
        <v>0</v>
      </c>
      <c r="R11" s="266">
        <v>1.25</v>
      </c>
      <c r="S11" s="93">
        <f t="shared" si="0"/>
        <v>0</v>
      </c>
    </row>
    <row r="12" spans="1:19" ht="24.9" customHeight="1" x14ac:dyDescent="0.25">
      <c r="A12" s="159" t="s">
        <v>167</v>
      </c>
      <c r="B12" s="354" t="s">
        <v>121</v>
      </c>
      <c r="C12" s="355"/>
      <c r="D12" s="355"/>
      <c r="E12" s="355"/>
      <c r="F12" s="355"/>
      <c r="G12" s="355"/>
      <c r="H12" s="355"/>
      <c r="I12" s="355"/>
      <c r="J12" s="356"/>
      <c r="K12" s="118">
        <f>Données!F21</f>
        <v>0</v>
      </c>
      <c r="L12" s="160">
        <f>IF(K12&gt;=12,1.5,IF(K12&gt;=9,1,IF(K12&gt;=6,0.5,0)))</f>
        <v>0</v>
      </c>
      <c r="P12" s="107" t="s">
        <v>433</v>
      </c>
      <c r="Q12" s="4">
        <f>SUM(L48:L55)</f>
        <v>0</v>
      </c>
      <c r="R12" s="266">
        <v>1.66</v>
      </c>
      <c r="S12" s="93">
        <f t="shared" si="0"/>
        <v>0</v>
      </c>
    </row>
    <row r="13" spans="1:19" ht="24.9" customHeight="1" x14ac:dyDescent="0.25">
      <c r="A13" s="159" t="s">
        <v>168</v>
      </c>
      <c r="B13" s="354" t="s">
        <v>216</v>
      </c>
      <c r="C13" s="355"/>
      <c r="D13" s="355"/>
      <c r="E13" s="355"/>
      <c r="F13" s="355"/>
      <c r="G13" s="355"/>
      <c r="H13" s="355"/>
      <c r="I13" s="355"/>
      <c r="J13" s="356"/>
      <c r="K13" s="32">
        <f>IFERROR(Données!K45/Données!E45,0)</f>
        <v>0</v>
      </c>
      <c r="L13" s="160">
        <f>IF(K13&lt;=5%,2,IF(K13&lt;=8%,1.5,IF(K13&lt;=10%,1,0)))</f>
        <v>2</v>
      </c>
      <c r="P13" s="4" t="s">
        <v>434</v>
      </c>
      <c r="Q13" s="4">
        <f>SUM(L57:L69)</f>
        <v>8</v>
      </c>
      <c r="R13" s="266">
        <v>1.1599999999999999</v>
      </c>
      <c r="S13" s="93">
        <f t="shared" si="0"/>
        <v>9.2799999999999994</v>
      </c>
    </row>
    <row r="14" spans="1:19" ht="24.9" customHeight="1" x14ac:dyDescent="0.25">
      <c r="A14" s="159" t="s">
        <v>169</v>
      </c>
      <c r="B14" s="354" t="s">
        <v>217</v>
      </c>
      <c r="C14" s="355"/>
      <c r="D14" s="355"/>
      <c r="E14" s="355"/>
      <c r="F14" s="355"/>
      <c r="G14" s="355"/>
      <c r="H14" s="355"/>
      <c r="I14" s="355"/>
      <c r="J14" s="356"/>
      <c r="K14" s="32">
        <f>IFERROR(Données!K46/Données!E46,0)</f>
        <v>0</v>
      </c>
      <c r="L14" s="160">
        <f>IF(K14&lt;=5%,2,IF(K14&lt;=10%,1.5,IF(K14&lt;=15%,1,0)))</f>
        <v>2</v>
      </c>
      <c r="Q14" s="2">
        <f>SUM(Q8:Q13)</f>
        <v>14</v>
      </c>
    </row>
    <row r="15" spans="1:19" ht="24.9" customHeight="1" x14ac:dyDescent="0.25">
      <c r="A15" s="159" t="s">
        <v>170</v>
      </c>
      <c r="B15" s="354" t="s">
        <v>218</v>
      </c>
      <c r="C15" s="355"/>
      <c r="D15" s="355"/>
      <c r="E15" s="355"/>
      <c r="F15" s="355"/>
      <c r="G15" s="355"/>
      <c r="H15" s="355"/>
      <c r="I15" s="355"/>
      <c r="J15" s="356"/>
      <c r="K15" s="32">
        <f>IFERROR(Données!K47/Données!E47,0)</f>
        <v>0</v>
      </c>
      <c r="L15" s="160">
        <f>IF(K15&lt;=10%,2,IF(K15&lt;=15%,1.5,IF(K15&lt;=20%,1,0)))</f>
        <v>2</v>
      </c>
    </row>
    <row r="16" spans="1:19" ht="24.9" customHeight="1" x14ac:dyDescent="0.25">
      <c r="A16" s="159" t="s">
        <v>171</v>
      </c>
      <c r="B16" s="354" t="s">
        <v>219</v>
      </c>
      <c r="C16" s="355"/>
      <c r="D16" s="355"/>
      <c r="E16" s="355"/>
      <c r="F16" s="355"/>
      <c r="G16" s="355"/>
      <c r="H16" s="355"/>
      <c r="I16" s="355"/>
      <c r="J16" s="356"/>
      <c r="K16" s="32">
        <f>IFERROR((Données!I48)/(Données!E48),0)</f>
        <v>0</v>
      </c>
      <c r="L16" s="160">
        <f>IF(K16&gt;=70%,2,IF(K16&gt;=60%,1.5,IF(K16&gt;=50%,1,0)))</f>
        <v>0</v>
      </c>
    </row>
    <row r="17" spans="1:13" ht="24.9" customHeight="1" x14ac:dyDescent="0.25">
      <c r="A17" s="159" t="s">
        <v>172</v>
      </c>
      <c r="B17" s="354" t="s">
        <v>220</v>
      </c>
      <c r="C17" s="355"/>
      <c r="D17" s="355"/>
      <c r="E17" s="355"/>
      <c r="F17" s="355"/>
      <c r="G17" s="355"/>
      <c r="H17" s="355"/>
      <c r="I17" s="355"/>
      <c r="J17" s="356"/>
      <c r="K17" s="32">
        <f>IFERROR(Données!I46/(Données!H25+Données!H9),0)</f>
        <v>0</v>
      </c>
      <c r="L17" s="160">
        <f>IF(K17&gt;=80%,2,IF(K17&gt;=70%,1.5,IF(K17&gt;=60%,1,0)))</f>
        <v>0</v>
      </c>
    </row>
    <row r="18" spans="1:13" ht="24.9" customHeight="1" x14ac:dyDescent="0.25">
      <c r="A18" s="159" t="s">
        <v>173</v>
      </c>
      <c r="B18" s="354" t="s">
        <v>221</v>
      </c>
      <c r="C18" s="355"/>
      <c r="D18" s="355"/>
      <c r="E18" s="355"/>
      <c r="F18" s="355"/>
      <c r="G18" s="355"/>
      <c r="H18" s="355"/>
      <c r="I18" s="355"/>
      <c r="J18" s="356"/>
      <c r="K18" s="32">
        <f>IFERROR(Données!I47/(Données!H21+Données!H5),0)</f>
        <v>0</v>
      </c>
      <c r="L18" s="160">
        <f>IF(K18&gt;=80%,2,IF(K18&gt;=70%,1.5,IF(K18&gt;=60%,1,0)))</f>
        <v>0</v>
      </c>
    </row>
    <row r="19" spans="1:13" ht="24.9" customHeight="1" x14ac:dyDescent="0.25">
      <c r="A19" s="159" t="s">
        <v>174</v>
      </c>
      <c r="B19" s="354" t="s">
        <v>222</v>
      </c>
      <c r="C19" s="355"/>
      <c r="D19" s="355"/>
      <c r="E19" s="355"/>
      <c r="F19" s="355"/>
      <c r="G19" s="355"/>
      <c r="H19" s="355"/>
      <c r="I19" s="355"/>
      <c r="J19" s="356"/>
      <c r="K19" s="32">
        <f>IFERROR((Données!J31+Données!J29)/(Données!H29),0)</f>
        <v>0</v>
      </c>
      <c r="L19" s="160">
        <f>IF(K19&gt;=70%,1.5,IF(K19&gt;=60%,1,IF(K19&gt;=50%,0.5,0)))</f>
        <v>0</v>
      </c>
    </row>
    <row r="20" spans="1:13" ht="24.9" customHeight="1" thickBot="1" x14ac:dyDescent="0.3">
      <c r="A20" s="161" t="s">
        <v>175</v>
      </c>
      <c r="B20" s="343" t="s">
        <v>223</v>
      </c>
      <c r="C20" s="344"/>
      <c r="D20" s="344"/>
      <c r="E20" s="344"/>
      <c r="F20" s="344"/>
      <c r="G20" s="344"/>
      <c r="H20" s="344"/>
      <c r="I20" s="344"/>
      <c r="J20" s="372"/>
      <c r="K20" s="278">
        <f>IFERROR((Données!J27+Données!J21)/(Données!H25+Données!H21),0)</f>
        <v>0</v>
      </c>
      <c r="L20" s="163">
        <f>IF(K20&gt;=80%,1.5,IF(K20&gt;=70%,1,IF(K20&gt;=60%,0.5,0)))</f>
        <v>0</v>
      </c>
    </row>
    <row r="21" spans="1:13" ht="24.9" customHeight="1" x14ac:dyDescent="0.25">
      <c r="A21" s="275" t="s">
        <v>9</v>
      </c>
      <c r="B21" s="357" t="s">
        <v>196</v>
      </c>
      <c r="C21" s="358"/>
      <c r="D21" s="358"/>
      <c r="E21" s="358"/>
      <c r="F21" s="358"/>
      <c r="G21" s="358"/>
      <c r="H21" s="358"/>
      <c r="I21" s="358"/>
      <c r="J21" s="359"/>
      <c r="K21" s="276" t="s">
        <v>7</v>
      </c>
      <c r="L21" s="277" t="s">
        <v>8</v>
      </c>
      <c r="M21" s="126"/>
    </row>
    <row r="22" spans="1:13" ht="24.9" customHeight="1" x14ac:dyDescent="0.25">
      <c r="A22" s="159" t="s">
        <v>176</v>
      </c>
      <c r="B22" s="354" t="s">
        <v>225</v>
      </c>
      <c r="C22" s="355"/>
      <c r="D22" s="355"/>
      <c r="E22" s="355"/>
      <c r="F22" s="355"/>
      <c r="G22" s="355"/>
      <c r="H22" s="355"/>
      <c r="I22" s="355"/>
      <c r="J22" s="356"/>
      <c r="K22" s="32">
        <f>IFERROR((Données!E44)/Données!E49,0)</f>
        <v>0</v>
      </c>
      <c r="L22" s="160">
        <f>IF(K22&gt;=18%,2,IF(K22&gt;=15%,1.5,IF(K22&gt;=12%,1,0)))</f>
        <v>0</v>
      </c>
    </row>
    <row r="23" spans="1:13" ht="39" customHeight="1" thickBot="1" x14ac:dyDescent="0.3">
      <c r="A23" s="161" t="s">
        <v>177</v>
      </c>
      <c r="B23" s="373" t="s">
        <v>226</v>
      </c>
      <c r="C23" s="374"/>
      <c r="D23" s="374"/>
      <c r="E23" s="374"/>
      <c r="F23" s="374"/>
      <c r="G23" s="374"/>
      <c r="H23" s="374"/>
      <c r="I23" s="374"/>
      <c r="J23" s="375"/>
      <c r="K23" s="278">
        <f>IFERROR(Données!E38/Données!E37,0)</f>
        <v>0</v>
      </c>
      <c r="L23" s="163">
        <f>IF(K23&gt;=12%,8,IF(K23&gt;=10%,6,IF(K23&gt;=8%,3,0)))</f>
        <v>0</v>
      </c>
    </row>
    <row r="24" spans="1:13" ht="24.9" customHeight="1" x14ac:dyDescent="0.25">
      <c r="A24" s="275" t="s">
        <v>9</v>
      </c>
      <c r="B24" s="357" t="s">
        <v>197</v>
      </c>
      <c r="C24" s="358"/>
      <c r="D24" s="358"/>
      <c r="E24" s="358"/>
      <c r="F24" s="358"/>
      <c r="G24" s="358"/>
      <c r="H24" s="358"/>
      <c r="I24" s="358"/>
      <c r="J24" s="359"/>
      <c r="K24" s="276" t="s">
        <v>11</v>
      </c>
      <c r="L24" s="277" t="s">
        <v>8</v>
      </c>
    </row>
    <row r="25" spans="1:13" ht="24.9" customHeight="1" x14ac:dyDescent="0.25">
      <c r="A25" s="314" t="s">
        <v>178</v>
      </c>
      <c r="B25" s="360" t="s">
        <v>227</v>
      </c>
      <c r="C25" s="361"/>
      <c r="D25" s="361"/>
      <c r="E25" s="361"/>
      <c r="F25" s="361"/>
      <c r="G25" s="361"/>
      <c r="H25" s="361"/>
      <c r="I25" s="361"/>
      <c r="J25" s="362"/>
      <c r="K25" s="262"/>
      <c r="L25" s="160">
        <f>IF(K25="O",2,0)</f>
        <v>0</v>
      </c>
    </row>
    <row r="26" spans="1:13" ht="24.9" customHeight="1" x14ac:dyDescent="0.25">
      <c r="A26" s="159" t="s">
        <v>179</v>
      </c>
      <c r="B26" s="354" t="s">
        <v>228</v>
      </c>
      <c r="C26" s="355"/>
      <c r="D26" s="355"/>
      <c r="E26" s="355"/>
      <c r="F26" s="355"/>
      <c r="G26" s="355"/>
      <c r="H26" s="355"/>
      <c r="I26" s="355"/>
      <c r="J26" s="356"/>
      <c r="K26" s="262"/>
      <c r="L26" s="160">
        <f>IF(K26="O",1.5,0)</f>
        <v>0</v>
      </c>
    </row>
    <row r="27" spans="1:13" ht="24.9" customHeight="1" x14ac:dyDescent="0.25">
      <c r="A27" s="159" t="s">
        <v>180</v>
      </c>
      <c r="B27" s="354" t="s">
        <v>229</v>
      </c>
      <c r="C27" s="355"/>
      <c r="D27" s="355"/>
      <c r="E27" s="355"/>
      <c r="F27" s="355"/>
      <c r="G27" s="355"/>
      <c r="H27" s="355"/>
      <c r="I27" s="355"/>
      <c r="J27" s="356"/>
      <c r="K27" s="262"/>
      <c r="L27" s="160">
        <f t="shared" ref="L27" si="1">IF(K27="O",2,0)</f>
        <v>0</v>
      </c>
    </row>
    <row r="28" spans="1:13" ht="24.9" customHeight="1" x14ac:dyDescent="0.25">
      <c r="A28" s="376" t="s">
        <v>181</v>
      </c>
      <c r="B28" s="354" t="s">
        <v>230</v>
      </c>
      <c r="C28" s="355"/>
      <c r="D28" s="355"/>
      <c r="E28" s="355"/>
      <c r="F28" s="355"/>
      <c r="G28" s="355"/>
      <c r="H28" s="355"/>
      <c r="I28" s="355"/>
      <c r="J28" s="356"/>
      <c r="K28" s="262"/>
      <c r="L28" s="160">
        <f>IF(K28="O",0.5,0)</f>
        <v>0</v>
      </c>
    </row>
    <row r="29" spans="1:13" ht="24.9" customHeight="1" x14ac:dyDescent="0.25">
      <c r="A29" s="387"/>
      <c r="B29" s="354" t="s">
        <v>231</v>
      </c>
      <c r="C29" s="355"/>
      <c r="D29" s="355"/>
      <c r="E29" s="355"/>
      <c r="F29" s="355"/>
      <c r="G29" s="355"/>
      <c r="H29" s="355"/>
      <c r="I29" s="355"/>
      <c r="J29" s="356"/>
      <c r="K29" s="262"/>
      <c r="L29" s="160">
        <f>IF(K29="O",0.5,0)</f>
        <v>0</v>
      </c>
    </row>
    <row r="30" spans="1:13" ht="32.25" customHeight="1" x14ac:dyDescent="0.25">
      <c r="A30" s="159" t="s">
        <v>182</v>
      </c>
      <c r="B30" s="364" t="s">
        <v>232</v>
      </c>
      <c r="C30" s="365"/>
      <c r="D30" s="365"/>
      <c r="E30" s="365"/>
      <c r="F30" s="365"/>
      <c r="G30" s="365"/>
      <c r="H30" s="365"/>
      <c r="I30" s="365"/>
      <c r="J30" s="379"/>
      <c r="K30" s="262"/>
      <c r="L30" s="160">
        <f>IF(K30="O",2,0)</f>
        <v>0</v>
      </c>
    </row>
    <row r="31" spans="1:13" ht="24.9" customHeight="1" thickBot="1" x14ac:dyDescent="0.3">
      <c r="A31" s="289" t="s">
        <v>9</v>
      </c>
      <c r="B31" s="369" t="s">
        <v>195</v>
      </c>
      <c r="C31" s="370"/>
      <c r="D31" s="370"/>
      <c r="E31" s="370"/>
      <c r="F31" s="370"/>
      <c r="G31" s="370"/>
      <c r="H31" s="370"/>
      <c r="I31" s="370"/>
      <c r="J31" s="371"/>
      <c r="K31" s="290" t="s">
        <v>11</v>
      </c>
      <c r="L31" s="291" t="s">
        <v>8</v>
      </c>
    </row>
    <row r="32" spans="1:13" ht="24.9" customHeight="1" x14ac:dyDescent="0.25">
      <c r="A32" s="164" t="s">
        <v>183</v>
      </c>
      <c r="B32" s="366" t="s">
        <v>233</v>
      </c>
      <c r="C32" s="367"/>
      <c r="D32" s="367"/>
      <c r="E32" s="367"/>
      <c r="F32" s="367"/>
      <c r="G32" s="367"/>
      <c r="H32" s="367"/>
      <c r="I32" s="367"/>
      <c r="J32" s="368"/>
      <c r="K32" s="263"/>
      <c r="L32" s="165">
        <f>IF(K32="O",1,0)</f>
        <v>0</v>
      </c>
    </row>
    <row r="33" spans="1:22" ht="24.9" customHeight="1" x14ac:dyDescent="0.25">
      <c r="A33" s="159" t="s">
        <v>184</v>
      </c>
      <c r="B33" s="354" t="s">
        <v>234</v>
      </c>
      <c r="C33" s="355"/>
      <c r="D33" s="355"/>
      <c r="E33" s="355"/>
      <c r="F33" s="355"/>
      <c r="G33" s="355"/>
      <c r="H33" s="355"/>
      <c r="I33" s="355"/>
      <c r="J33" s="356"/>
      <c r="K33" s="262"/>
      <c r="L33" s="160">
        <f t="shared" ref="L33:L35" si="2">IF(K33="O",1,0)</f>
        <v>0</v>
      </c>
    </row>
    <row r="34" spans="1:22" ht="24.9" customHeight="1" x14ac:dyDescent="0.25">
      <c r="A34" s="159" t="s">
        <v>185</v>
      </c>
      <c r="B34" s="354" t="s">
        <v>235</v>
      </c>
      <c r="C34" s="355"/>
      <c r="D34" s="355"/>
      <c r="E34" s="355"/>
      <c r="F34" s="355"/>
      <c r="G34" s="355"/>
      <c r="H34" s="355"/>
      <c r="I34" s="355"/>
      <c r="J34" s="356"/>
      <c r="K34" s="262"/>
      <c r="L34" s="160">
        <f t="shared" si="2"/>
        <v>0</v>
      </c>
      <c r="N34" t="s">
        <v>241</v>
      </c>
    </row>
    <row r="35" spans="1:22" ht="24.9" customHeight="1" x14ac:dyDescent="0.25">
      <c r="A35" s="314" t="s">
        <v>186</v>
      </c>
      <c r="B35" s="360" t="s">
        <v>236</v>
      </c>
      <c r="C35" s="361"/>
      <c r="D35" s="361"/>
      <c r="E35" s="361"/>
      <c r="F35" s="361"/>
      <c r="G35" s="361"/>
      <c r="H35" s="361"/>
      <c r="I35" s="361"/>
      <c r="J35" s="362"/>
      <c r="K35" s="262"/>
      <c r="L35" s="160">
        <f t="shared" si="2"/>
        <v>0</v>
      </c>
      <c r="N35" t="s">
        <v>238</v>
      </c>
    </row>
    <row r="36" spans="1:22" ht="24.9" customHeight="1" x14ac:dyDescent="0.25">
      <c r="A36" s="159" t="s">
        <v>187</v>
      </c>
      <c r="B36" s="354" t="s">
        <v>237</v>
      </c>
      <c r="C36" s="355"/>
      <c r="D36" s="355"/>
      <c r="E36" s="355"/>
      <c r="F36" s="355"/>
      <c r="G36" s="355"/>
      <c r="H36" s="355"/>
      <c r="I36" s="355"/>
      <c r="J36" s="356"/>
      <c r="K36" s="262"/>
      <c r="L36" s="160">
        <f>IF(K36="O",1,0)</f>
        <v>0</v>
      </c>
      <c r="N36" t="s">
        <v>437</v>
      </c>
    </row>
    <row r="37" spans="1:22" ht="24.9" customHeight="1" x14ac:dyDescent="0.25">
      <c r="A37" s="279" t="s">
        <v>188</v>
      </c>
      <c r="B37" s="267" t="s">
        <v>240</v>
      </c>
      <c r="C37" s="268"/>
      <c r="D37" s="268"/>
      <c r="E37" s="268"/>
      <c r="F37" s="268"/>
      <c r="G37" s="268"/>
      <c r="H37" s="268"/>
      <c r="I37" s="268"/>
      <c r="J37" s="353"/>
      <c r="K37" s="353"/>
      <c r="L37" s="160">
        <f>IF(J37=N34,3,IF(J37=N35,2,IF(J37=N36,1,0)))</f>
        <v>0</v>
      </c>
      <c r="N37" t="s">
        <v>239</v>
      </c>
    </row>
    <row r="38" spans="1:22" ht="24.9" customHeight="1" x14ac:dyDescent="0.25">
      <c r="A38" s="159" t="s">
        <v>189</v>
      </c>
      <c r="B38" s="354" t="s">
        <v>242</v>
      </c>
      <c r="C38" s="355"/>
      <c r="D38" s="355"/>
      <c r="E38" s="355"/>
      <c r="F38" s="355"/>
      <c r="G38" s="355"/>
      <c r="H38" s="355"/>
      <c r="I38" s="355"/>
      <c r="J38" s="356"/>
      <c r="K38" s="262"/>
      <c r="L38" s="160">
        <f>IF(K38="O",2,0)</f>
        <v>0</v>
      </c>
      <c r="N38" t="s">
        <v>248</v>
      </c>
    </row>
    <row r="39" spans="1:22" ht="24.9" customHeight="1" x14ac:dyDescent="0.25">
      <c r="A39" s="159" t="s">
        <v>190</v>
      </c>
      <c r="B39" s="364" t="s">
        <v>243</v>
      </c>
      <c r="C39" s="365"/>
      <c r="D39" s="365"/>
      <c r="E39" s="365"/>
      <c r="F39" s="365"/>
      <c r="G39" s="365"/>
      <c r="H39" s="365"/>
      <c r="I39" s="365"/>
      <c r="J39" s="365"/>
      <c r="K39" s="262"/>
      <c r="L39" s="160">
        <f>IF(K39="O",1.5,0)</f>
        <v>0</v>
      </c>
      <c r="N39" t="s">
        <v>247</v>
      </c>
    </row>
    <row r="40" spans="1:22" ht="24.9" customHeight="1" x14ac:dyDescent="0.25">
      <c r="A40" s="159" t="s">
        <v>191</v>
      </c>
      <c r="B40" s="364" t="s">
        <v>244</v>
      </c>
      <c r="C40" s="365"/>
      <c r="D40" s="365"/>
      <c r="E40" s="365"/>
      <c r="F40" s="365"/>
      <c r="G40" s="365"/>
      <c r="H40" s="365"/>
      <c r="I40" s="365"/>
      <c r="J40" s="365"/>
      <c r="K40" s="262"/>
      <c r="L40" s="160">
        <f>IF(K40="O",1.5,0)</f>
        <v>0</v>
      </c>
      <c r="N40" t="s">
        <v>246</v>
      </c>
    </row>
    <row r="41" spans="1:22" ht="24.9" customHeight="1" x14ac:dyDescent="0.25">
      <c r="A41" s="279" t="s">
        <v>192</v>
      </c>
      <c r="B41" s="267" t="s">
        <v>249</v>
      </c>
      <c r="C41" s="268"/>
      <c r="D41" s="268"/>
      <c r="E41" s="268"/>
      <c r="F41" s="268"/>
      <c r="G41" s="268"/>
      <c r="H41" s="268"/>
      <c r="I41" s="268"/>
      <c r="J41" s="352"/>
      <c r="K41" s="352"/>
      <c r="L41" s="160">
        <f>IF(J41=N41,3,IF(J41=N40,2,IF(J41=N39,1,0)))</f>
        <v>0</v>
      </c>
      <c r="N41" t="s">
        <v>245</v>
      </c>
    </row>
    <row r="42" spans="1:22" ht="24.75" customHeight="1" x14ac:dyDescent="0.25">
      <c r="A42" s="386" t="s">
        <v>193</v>
      </c>
      <c r="B42" s="364" t="s">
        <v>194</v>
      </c>
      <c r="C42" s="365"/>
      <c r="D42" s="365"/>
      <c r="E42" s="365"/>
      <c r="F42" s="365"/>
      <c r="G42" s="365"/>
      <c r="H42" s="365"/>
      <c r="I42" s="365"/>
      <c r="J42" s="379"/>
      <c r="K42" s="240"/>
      <c r="L42" s="280"/>
    </row>
    <row r="43" spans="1:22" ht="24.75" customHeight="1" x14ac:dyDescent="0.25">
      <c r="A43" s="386"/>
      <c r="B43" s="345" t="s">
        <v>250</v>
      </c>
      <c r="C43" s="345"/>
      <c r="D43" s="345"/>
      <c r="E43" s="345"/>
      <c r="F43" s="345"/>
      <c r="G43" s="345"/>
      <c r="H43" s="345"/>
      <c r="I43" s="345"/>
      <c r="J43" s="346"/>
      <c r="K43" s="269"/>
      <c r="L43" s="160">
        <f>IF(K43="O",1,0)</f>
        <v>0</v>
      </c>
    </row>
    <row r="44" spans="1:22" ht="24.75" customHeight="1" x14ac:dyDescent="0.25">
      <c r="A44" s="386"/>
      <c r="B44" s="345" t="s">
        <v>251</v>
      </c>
      <c r="C44" s="345"/>
      <c r="D44" s="345"/>
      <c r="E44" s="345"/>
      <c r="F44" s="345"/>
      <c r="G44" s="345"/>
      <c r="H44" s="345"/>
      <c r="I44" s="345"/>
      <c r="J44" s="346"/>
      <c r="K44" s="269"/>
      <c r="L44" s="160">
        <f t="shared" ref="L44:L46" si="3">IF(K44="O",1,0)</f>
        <v>0</v>
      </c>
    </row>
    <row r="45" spans="1:22" ht="24.75" customHeight="1" x14ac:dyDescent="0.25">
      <c r="A45" s="386"/>
      <c r="B45" s="345" t="s">
        <v>252</v>
      </c>
      <c r="C45" s="345"/>
      <c r="D45" s="345"/>
      <c r="E45" s="345"/>
      <c r="F45" s="345"/>
      <c r="G45" s="345"/>
      <c r="H45" s="345"/>
      <c r="I45" s="345"/>
      <c r="J45" s="346"/>
      <c r="K45" s="269"/>
      <c r="L45" s="160">
        <f t="shared" si="3"/>
        <v>0</v>
      </c>
      <c r="N45" t="s">
        <v>255</v>
      </c>
    </row>
    <row r="46" spans="1:22" ht="24.9" customHeight="1" thickBot="1" x14ac:dyDescent="0.3">
      <c r="A46" s="376"/>
      <c r="B46" s="347" t="s">
        <v>253</v>
      </c>
      <c r="C46" s="347"/>
      <c r="D46" s="347"/>
      <c r="E46" s="347"/>
      <c r="F46" s="347"/>
      <c r="G46" s="347"/>
      <c r="H46" s="347"/>
      <c r="I46" s="347"/>
      <c r="J46" s="348"/>
      <c r="K46" s="292"/>
      <c r="L46" s="293">
        <f t="shared" si="3"/>
        <v>0</v>
      </c>
      <c r="N46" t="s">
        <v>258</v>
      </c>
    </row>
    <row r="47" spans="1:22" ht="30.75" customHeight="1" x14ac:dyDescent="0.25">
      <c r="A47" s="275" t="s">
        <v>9</v>
      </c>
      <c r="B47" s="357" t="s">
        <v>198</v>
      </c>
      <c r="C47" s="358"/>
      <c r="D47" s="358"/>
      <c r="E47" s="358"/>
      <c r="F47" s="358"/>
      <c r="G47" s="358"/>
      <c r="H47" s="358"/>
      <c r="I47" s="358"/>
      <c r="J47" s="359"/>
      <c r="K47" s="276" t="s">
        <v>11</v>
      </c>
      <c r="L47" s="277" t="s">
        <v>8</v>
      </c>
      <c r="N47" t="s">
        <v>256</v>
      </c>
      <c r="P47"/>
      <c r="Q47"/>
      <c r="R47"/>
      <c r="S47"/>
    </row>
    <row r="48" spans="1:22" ht="24.9" customHeight="1" x14ac:dyDescent="0.25">
      <c r="A48" s="279" t="s">
        <v>199</v>
      </c>
      <c r="B48" s="267" t="s">
        <v>254</v>
      </c>
      <c r="C48" s="268"/>
      <c r="D48" s="268"/>
      <c r="E48" s="268"/>
      <c r="F48" s="268"/>
      <c r="G48" s="268"/>
      <c r="H48" s="268"/>
      <c r="I48" s="268"/>
      <c r="J48" s="352"/>
      <c r="K48" s="352"/>
      <c r="L48" s="160">
        <f>IF(J48=N48,5,IF(J48=N47,3,IF(J48=N46,2,IF(J48=N45,1,0))))</f>
        <v>0</v>
      </c>
      <c r="N48" t="s">
        <v>257</v>
      </c>
      <c r="P48"/>
      <c r="Q48"/>
      <c r="R48"/>
      <c r="S48"/>
      <c r="T48"/>
      <c r="U48"/>
      <c r="V48"/>
    </row>
    <row r="49" spans="1:22" ht="24.9" customHeight="1" x14ac:dyDescent="0.25">
      <c r="A49" s="279" t="s">
        <v>201</v>
      </c>
      <c r="B49" s="267" t="s">
        <v>259</v>
      </c>
      <c r="C49" s="268"/>
      <c r="D49" s="268"/>
      <c r="E49" s="268"/>
      <c r="F49" s="268"/>
      <c r="G49" s="268"/>
      <c r="H49" s="268"/>
      <c r="I49" s="268"/>
      <c r="J49" s="353"/>
      <c r="K49" s="353"/>
      <c r="L49" s="160">
        <f>IF(J49=N50,4,IF(J49=N49,2,0))</f>
        <v>0</v>
      </c>
      <c r="N49" t="s">
        <v>260</v>
      </c>
      <c r="P49"/>
      <c r="Q49"/>
      <c r="R49"/>
      <c r="S49"/>
      <c r="T49"/>
      <c r="U49"/>
      <c r="V49"/>
    </row>
    <row r="50" spans="1:22" ht="24.9" customHeight="1" x14ac:dyDescent="0.25">
      <c r="A50" s="314" t="s">
        <v>202</v>
      </c>
      <c r="B50" s="360" t="s">
        <v>262</v>
      </c>
      <c r="C50" s="361"/>
      <c r="D50" s="361"/>
      <c r="E50" s="361"/>
      <c r="F50" s="361"/>
      <c r="G50" s="361"/>
      <c r="H50" s="361"/>
      <c r="I50" s="361"/>
      <c r="J50" s="362"/>
      <c r="K50" s="262"/>
      <c r="L50" s="160">
        <f>IF(K50="O",2,0)</f>
        <v>0</v>
      </c>
      <c r="N50" t="s">
        <v>261</v>
      </c>
      <c r="P50"/>
      <c r="Q50"/>
      <c r="R50"/>
      <c r="S50"/>
      <c r="T50"/>
      <c r="U50"/>
      <c r="V50"/>
    </row>
    <row r="51" spans="1:22" ht="24.9" customHeight="1" x14ac:dyDescent="0.25">
      <c r="A51" s="376" t="s">
        <v>203</v>
      </c>
      <c r="B51" s="354" t="s">
        <v>263</v>
      </c>
      <c r="C51" s="355"/>
      <c r="D51" s="355"/>
      <c r="E51" s="355"/>
      <c r="F51" s="355"/>
      <c r="G51" s="355"/>
      <c r="H51" s="355"/>
      <c r="I51" s="355"/>
      <c r="J51" s="356"/>
      <c r="K51" s="240"/>
      <c r="L51" s="280"/>
      <c r="N51" s="2"/>
      <c r="T51"/>
      <c r="U51"/>
      <c r="V51"/>
    </row>
    <row r="52" spans="1:22" ht="24.9" customHeight="1" x14ac:dyDescent="0.25">
      <c r="A52" s="377"/>
      <c r="B52" s="380" t="s">
        <v>264</v>
      </c>
      <c r="C52" s="381"/>
      <c r="D52" s="381"/>
      <c r="E52" s="381"/>
      <c r="F52" s="381"/>
      <c r="G52" s="381"/>
      <c r="H52" s="381"/>
      <c r="I52" s="381"/>
      <c r="J52" s="382"/>
      <c r="K52" s="262"/>
      <c r="L52" s="160">
        <f>IF(K52="O",1,0)</f>
        <v>0</v>
      </c>
    </row>
    <row r="53" spans="1:22" ht="24.75" customHeight="1" x14ac:dyDescent="0.25">
      <c r="A53" s="377"/>
      <c r="B53" s="380" t="s">
        <v>265</v>
      </c>
      <c r="C53" s="381"/>
      <c r="D53" s="381"/>
      <c r="E53" s="381"/>
      <c r="F53" s="381"/>
      <c r="G53" s="381"/>
      <c r="H53" s="381"/>
      <c r="I53" s="381"/>
      <c r="J53" s="382"/>
      <c r="K53" s="262"/>
      <c r="L53" s="160">
        <f t="shared" ref="L53:L55" si="4">IF(K53="O",1,0)</f>
        <v>0</v>
      </c>
    </row>
    <row r="54" spans="1:22" ht="24.75" customHeight="1" x14ac:dyDescent="0.25">
      <c r="A54" s="377"/>
      <c r="B54" s="380" t="s">
        <v>266</v>
      </c>
      <c r="C54" s="381"/>
      <c r="D54" s="381"/>
      <c r="E54" s="381"/>
      <c r="F54" s="381"/>
      <c r="G54" s="381"/>
      <c r="H54" s="381"/>
      <c r="I54" s="381"/>
      <c r="J54" s="382"/>
      <c r="K54" s="262"/>
      <c r="L54" s="160">
        <f t="shared" si="4"/>
        <v>0</v>
      </c>
    </row>
    <row r="55" spans="1:22" ht="24.75" customHeight="1" thickBot="1" x14ac:dyDescent="0.3">
      <c r="A55" s="378"/>
      <c r="B55" s="383" t="s">
        <v>267</v>
      </c>
      <c r="C55" s="384"/>
      <c r="D55" s="384"/>
      <c r="E55" s="384"/>
      <c r="F55" s="384"/>
      <c r="G55" s="384"/>
      <c r="H55" s="384"/>
      <c r="I55" s="384"/>
      <c r="J55" s="385"/>
      <c r="K55" s="162"/>
      <c r="L55" s="163">
        <f t="shared" si="4"/>
        <v>0</v>
      </c>
    </row>
    <row r="56" spans="1:22" ht="24.9" customHeight="1" x14ac:dyDescent="0.25">
      <c r="A56" s="275" t="s">
        <v>9</v>
      </c>
      <c r="B56" s="357" t="s">
        <v>200</v>
      </c>
      <c r="C56" s="358"/>
      <c r="D56" s="358"/>
      <c r="E56" s="358"/>
      <c r="F56" s="358"/>
      <c r="G56" s="358"/>
      <c r="H56" s="358"/>
      <c r="I56" s="358"/>
      <c r="J56" s="359"/>
      <c r="K56" s="276" t="s">
        <v>11</v>
      </c>
      <c r="L56" s="277" t="s">
        <v>8</v>
      </c>
    </row>
    <row r="57" spans="1:22" ht="24.9" customHeight="1" x14ac:dyDescent="0.25">
      <c r="A57" s="159" t="s">
        <v>204</v>
      </c>
      <c r="B57" s="354" t="s">
        <v>269</v>
      </c>
      <c r="C57" s="355"/>
      <c r="D57" s="355"/>
      <c r="E57" s="355"/>
      <c r="F57" s="355"/>
      <c r="G57" s="355"/>
      <c r="H57" s="355"/>
      <c r="I57" s="355"/>
      <c r="J57" s="356"/>
      <c r="K57" s="262"/>
      <c r="L57" s="160">
        <f>IF(K57="O",2,0)</f>
        <v>0</v>
      </c>
    </row>
    <row r="58" spans="1:22" ht="24.9" customHeight="1" x14ac:dyDescent="0.25">
      <c r="A58" s="159" t="s">
        <v>205</v>
      </c>
      <c r="B58" s="354" t="s">
        <v>268</v>
      </c>
      <c r="C58" s="355"/>
      <c r="D58" s="355"/>
      <c r="E58" s="355"/>
      <c r="F58" s="355"/>
      <c r="G58" s="355"/>
      <c r="H58" s="355"/>
      <c r="I58" s="355"/>
      <c r="J58" s="356"/>
      <c r="K58" s="262"/>
      <c r="L58" s="160">
        <f>IF(K58="O",2,0)</f>
        <v>0</v>
      </c>
    </row>
    <row r="59" spans="1:22" ht="24.9" customHeight="1" x14ac:dyDescent="0.25">
      <c r="A59" s="159" t="s">
        <v>206</v>
      </c>
      <c r="B59" s="354" t="s">
        <v>278</v>
      </c>
      <c r="C59" s="355"/>
      <c r="D59" s="355"/>
      <c r="E59" s="355"/>
      <c r="F59" s="355"/>
      <c r="G59" s="355"/>
      <c r="H59" s="355"/>
      <c r="I59" s="355"/>
      <c r="J59" s="356"/>
      <c r="K59" s="262"/>
      <c r="L59" s="160">
        <f>IF(K59&gt;=2,4,IF(K59=1,2,0))</f>
        <v>0</v>
      </c>
    </row>
    <row r="60" spans="1:22" ht="24.9" customHeight="1" x14ac:dyDescent="0.25">
      <c r="A60" s="159" t="s">
        <v>207</v>
      </c>
      <c r="B60" s="354" t="s">
        <v>270</v>
      </c>
      <c r="C60" s="355"/>
      <c r="D60" s="355"/>
      <c r="E60" s="355"/>
      <c r="F60" s="355"/>
      <c r="G60" s="355"/>
      <c r="H60" s="355"/>
      <c r="I60" s="355"/>
      <c r="J60" s="356"/>
      <c r="K60" s="262">
        <v>1</v>
      </c>
      <c r="L60" s="160">
        <f>IF(K60&gt;=2,4,IF(K60=1,2,0))</f>
        <v>2</v>
      </c>
    </row>
    <row r="61" spans="1:22" ht="24.9" customHeight="1" x14ac:dyDescent="0.25">
      <c r="A61" s="376" t="s">
        <v>208</v>
      </c>
      <c r="B61" s="354" t="s">
        <v>271</v>
      </c>
      <c r="C61" s="355"/>
      <c r="D61" s="355"/>
      <c r="E61" s="355"/>
      <c r="F61" s="355"/>
      <c r="G61" s="355"/>
      <c r="H61" s="355"/>
      <c r="I61" s="355"/>
      <c r="J61" s="356"/>
      <c r="K61" s="240"/>
      <c r="L61" s="280"/>
    </row>
    <row r="62" spans="1:22" ht="24.9" customHeight="1" x14ac:dyDescent="0.25">
      <c r="A62" s="377"/>
      <c r="B62" s="380" t="s">
        <v>272</v>
      </c>
      <c r="C62" s="381"/>
      <c r="D62" s="381"/>
      <c r="E62" s="381"/>
      <c r="F62" s="381"/>
      <c r="G62" s="381"/>
      <c r="H62" s="381"/>
      <c r="I62" s="381"/>
      <c r="J62" s="382"/>
      <c r="K62" s="262" t="s">
        <v>469</v>
      </c>
      <c r="L62" s="349">
        <f>IF(SUM(N62:N67)&gt;=6,6,SUM(N62:N67))</f>
        <v>6</v>
      </c>
      <c r="N62">
        <f>IF(K62="O",2,0)</f>
        <v>2</v>
      </c>
    </row>
    <row r="63" spans="1:22" ht="24.9" customHeight="1" x14ac:dyDescent="0.25">
      <c r="A63" s="377"/>
      <c r="B63" s="380" t="s">
        <v>277</v>
      </c>
      <c r="C63" s="381"/>
      <c r="D63" s="381"/>
      <c r="E63" s="381"/>
      <c r="F63" s="381"/>
      <c r="G63" s="381"/>
      <c r="H63" s="381"/>
      <c r="I63" s="381"/>
      <c r="J63" s="382"/>
      <c r="K63" s="262" t="s">
        <v>470</v>
      </c>
      <c r="L63" s="350"/>
      <c r="N63">
        <f t="shared" ref="N63:N67" si="5">IF(K63="O",2,0)</f>
        <v>0</v>
      </c>
    </row>
    <row r="64" spans="1:22" ht="24.9" customHeight="1" x14ac:dyDescent="0.25">
      <c r="A64" s="377"/>
      <c r="B64" s="380" t="s">
        <v>273</v>
      </c>
      <c r="C64" s="381"/>
      <c r="D64" s="381"/>
      <c r="E64" s="381"/>
      <c r="F64" s="381"/>
      <c r="G64" s="381"/>
      <c r="H64" s="381"/>
      <c r="I64" s="381"/>
      <c r="J64" s="382"/>
      <c r="K64" s="262" t="s">
        <v>470</v>
      </c>
      <c r="L64" s="350"/>
      <c r="N64">
        <f t="shared" si="5"/>
        <v>0</v>
      </c>
    </row>
    <row r="65" spans="1:22" ht="24.9" customHeight="1" x14ac:dyDescent="0.25">
      <c r="A65" s="377"/>
      <c r="B65" s="380" t="s">
        <v>274</v>
      </c>
      <c r="C65" s="381"/>
      <c r="D65" s="381"/>
      <c r="E65" s="381"/>
      <c r="F65" s="381"/>
      <c r="G65" s="381"/>
      <c r="H65" s="381"/>
      <c r="I65" s="381"/>
      <c r="J65" s="382"/>
      <c r="K65" s="262" t="s">
        <v>470</v>
      </c>
      <c r="L65" s="350"/>
      <c r="N65">
        <f t="shared" si="5"/>
        <v>0</v>
      </c>
    </row>
    <row r="66" spans="1:22" ht="24.9" customHeight="1" x14ac:dyDescent="0.25">
      <c r="A66" s="377"/>
      <c r="B66" s="380" t="s">
        <v>275</v>
      </c>
      <c r="C66" s="381"/>
      <c r="D66" s="381"/>
      <c r="E66" s="381"/>
      <c r="F66" s="381"/>
      <c r="G66" s="381"/>
      <c r="H66" s="381"/>
      <c r="I66" s="381"/>
      <c r="J66" s="382"/>
      <c r="K66" s="262" t="s">
        <v>469</v>
      </c>
      <c r="L66" s="350"/>
      <c r="N66">
        <f t="shared" si="5"/>
        <v>2</v>
      </c>
    </row>
    <row r="67" spans="1:22" ht="24.9" customHeight="1" x14ac:dyDescent="0.25">
      <c r="A67" s="387"/>
      <c r="B67" s="380" t="s">
        <v>276</v>
      </c>
      <c r="C67" s="381"/>
      <c r="D67" s="381"/>
      <c r="E67" s="381"/>
      <c r="F67" s="381"/>
      <c r="G67" s="381"/>
      <c r="H67" s="381"/>
      <c r="I67" s="381"/>
      <c r="J67" s="382"/>
      <c r="K67" s="262" t="s">
        <v>469</v>
      </c>
      <c r="L67" s="351"/>
      <c r="N67">
        <f t="shared" si="5"/>
        <v>2</v>
      </c>
      <c r="P67"/>
      <c r="Q67"/>
      <c r="R67"/>
      <c r="S67"/>
    </row>
    <row r="68" spans="1:22" ht="24.9" customHeight="1" x14ac:dyDescent="0.25">
      <c r="A68" s="279" t="s">
        <v>209</v>
      </c>
      <c r="B68" s="267" t="s">
        <v>210</v>
      </c>
      <c r="C68" s="268"/>
      <c r="D68" s="268"/>
      <c r="E68" s="268"/>
      <c r="F68" s="268"/>
      <c r="G68" s="268"/>
      <c r="H68" s="268"/>
      <c r="I68" s="268"/>
      <c r="J68" s="352"/>
      <c r="K68" s="352"/>
      <c r="L68" s="160">
        <f>IF(J68=N71,1.5,IF(J68=N70,1,IF(J68=N69,0.5,0)))</f>
        <v>0</v>
      </c>
      <c r="N68" t="s">
        <v>279</v>
      </c>
      <c r="P68"/>
      <c r="Q68"/>
      <c r="R68"/>
      <c r="S68"/>
      <c r="T68"/>
      <c r="U68"/>
      <c r="V68"/>
    </row>
    <row r="69" spans="1:22" ht="24.9" customHeight="1" thickBot="1" x14ac:dyDescent="0.3">
      <c r="A69" s="161" t="s">
        <v>211</v>
      </c>
      <c r="B69" s="343" t="s">
        <v>283</v>
      </c>
      <c r="C69" s="344"/>
      <c r="D69" s="344"/>
      <c r="E69" s="344"/>
      <c r="F69" s="344"/>
      <c r="G69" s="344"/>
      <c r="H69" s="344"/>
      <c r="I69" s="344"/>
      <c r="J69" s="344"/>
      <c r="K69" s="162"/>
      <c r="L69" s="163">
        <f>IF(K69="O",2,0)</f>
        <v>0</v>
      </c>
      <c r="N69" t="s">
        <v>280</v>
      </c>
      <c r="P69"/>
      <c r="Q69"/>
      <c r="R69"/>
      <c r="S69"/>
      <c r="T69"/>
      <c r="U69"/>
      <c r="V69"/>
    </row>
    <row r="70" spans="1:22" ht="24.9" customHeight="1" thickBot="1" x14ac:dyDescent="0.3">
      <c r="A70" s="281"/>
      <c r="B70" s="282"/>
      <c r="C70" s="282"/>
      <c r="D70" s="282"/>
      <c r="E70" s="282"/>
      <c r="F70" s="282"/>
      <c r="G70" s="282"/>
      <c r="H70" s="282"/>
      <c r="I70" s="282"/>
      <c r="J70" s="282"/>
      <c r="K70" s="24"/>
      <c r="L70" s="283"/>
      <c r="N70" t="s">
        <v>281</v>
      </c>
      <c r="P70"/>
      <c r="Q70"/>
      <c r="R70"/>
      <c r="S70"/>
      <c r="T70"/>
      <c r="U70"/>
      <c r="V70"/>
    </row>
    <row r="71" spans="1:22" ht="24.9" customHeight="1" thickBot="1" x14ac:dyDescent="0.3">
      <c r="A71" s="281"/>
      <c r="B71" s="282"/>
      <c r="C71" s="282"/>
      <c r="D71" s="282"/>
      <c r="E71" s="282"/>
      <c r="F71" s="282"/>
      <c r="G71" s="282"/>
      <c r="H71" s="282"/>
      <c r="I71" s="282"/>
      <c r="J71" s="340" t="s">
        <v>1</v>
      </c>
      <c r="K71" s="342"/>
      <c r="L71" s="294">
        <f>SUM(L6:L69)</f>
        <v>14</v>
      </c>
      <c r="N71" t="s">
        <v>282</v>
      </c>
      <c r="T71"/>
      <c r="U71"/>
      <c r="V71"/>
    </row>
    <row r="72" spans="1:22" ht="24.9" customHeight="1" thickBot="1" x14ac:dyDescent="0.3">
      <c r="A72" s="281"/>
      <c r="B72" s="282"/>
      <c r="C72" s="282"/>
      <c r="D72" s="282"/>
      <c r="E72" s="282"/>
      <c r="F72" s="282"/>
      <c r="G72" s="282"/>
      <c r="H72" s="282"/>
      <c r="I72" s="282"/>
      <c r="J72" s="18"/>
      <c r="K72" s="18"/>
      <c r="L72" s="284"/>
    </row>
    <row r="73" spans="1:22" ht="24.9" customHeight="1" thickBot="1" x14ac:dyDescent="0.3">
      <c r="A73" s="281"/>
      <c r="B73" s="282"/>
      <c r="C73" s="282"/>
      <c r="D73" s="282"/>
      <c r="E73" s="282"/>
      <c r="F73" s="282"/>
      <c r="G73" s="282"/>
      <c r="H73" s="340" t="s">
        <v>52</v>
      </c>
      <c r="I73" s="341"/>
      <c r="J73" s="342"/>
      <c r="K73" s="338" t="str">
        <f>IF(L71&gt;60,"ELITE",IF(L71&gt;=50,"EXCELLENCE",IF(L71&gt;=40,"ESPOIR","")))</f>
        <v/>
      </c>
      <c r="L73" s="339"/>
    </row>
    <row r="74" spans="1:22" ht="24.9" customHeight="1" thickBot="1" x14ac:dyDescent="0.3">
      <c r="A74" s="285" t="s">
        <v>284</v>
      </c>
      <c r="B74" s="286"/>
      <c r="C74" s="286"/>
      <c r="D74" s="286"/>
      <c r="E74" s="286"/>
      <c r="F74" s="286"/>
      <c r="G74" s="286"/>
      <c r="H74" s="286"/>
      <c r="I74" s="286"/>
      <c r="J74" s="287"/>
      <c r="K74" s="287"/>
      <c r="L74" s="288"/>
    </row>
    <row r="85" ht="29.25" customHeight="1" x14ac:dyDescent="0.25"/>
  </sheetData>
  <mergeCells count="72">
    <mergeCell ref="B43:J43"/>
    <mergeCell ref="A61:A67"/>
    <mergeCell ref="B61:J61"/>
    <mergeCell ref="B62:J62"/>
    <mergeCell ref="B63:J63"/>
    <mergeCell ref="B64:J64"/>
    <mergeCell ref="B65:J65"/>
    <mergeCell ref="B66:J66"/>
    <mergeCell ref="B67:J67"/>
    <mergeCell ref="A51:A55"/>
    <mergeCell ref="B50:J50"/>
    <mergeCell ref="B29:J29"/>
    <mergeCell ref="B30:J30"/>
    <mergeCell ref="B28:J28"/>
    <mergeCell ref="B42:J42"/>
    <mergeCell ref="B47:J47"/>
    <mergeCell ref="B52:J52"/>
    <mergeCell ref="B53:J53"/>
    <mergeCell ref="B54:J54"/>
    <mergeCell ref="B55:J55"/>
    <mergeCell ref="A42:A46"/>
    <mergeCell ref="B44:J44"/>
    <mergeCell ref="A28:A29"/>
    <mergeCell ref="J41:K41"/>
    <mergeCell ref="J37:K37"/>
    <mergeCell ref="B27:J27"/>
    <mergeCell ref="B31:J31"/>
    <mergeCell ref="B7:J7"/>
    <mergeCell ref="B20:J20"/>
    <mergeCell ref="B22:J22"/>
    <mergeCell ref="B23:J23"/>
    <mergeCell ref="B12:J12"/>
    <mergeCell ref="B13:J13"/>
    <mergeCell ref="B18:J18"/>
    <mergeCell ref="B19:J19"/>
    <mergeCell ref="B14:J14"/>
    <mergeCell ref="B15:J15"/>
    <mergeCell ref="B16:J16"/>
    <mergeCell ref="B17:J17"/>
    <mergeCell ref="B9:J9"/>
    <mergeCell ref="B10:J10"/>
    <mergeCell ref="B35:J35"/>
    <mergeCell ref="B38:J38"/>
    <mergeCell ref="B36:J36"/>
    <mergeCell ref="A3:L3"/>
    <mergeCell ref="J71:K71"/>
    <mergeCell ref="B11:J11"/>
    <mergeCell ref="B39:J39"/>
    <mergeCell ref="B26:J26"/>
    <mergeCell ref="B25:J25"/>
    <mergeCell ref="B24:J24"/>
    <mergeCell ref="B21:J21"/>
    <mergeCell ref="B8:J8"/>
    <mergeCell ref="B32:J32"/>
    <mergeCell ref="B33:J33"/>
    <mergeCell ref="B34:J34"/>
    <mergeCell ref="B40:J40"/>
    <mergeCell ref="K73:L73"/>
    <mergeCell ref="H73:J73"/>
    <mergeCell ref="B69:J69"/>
    <mergeCell ref="B45:J45"/>
    <mergeCell ref="B46:J46"/>
    <mergeCell ref="L62:L67"/>
    <mergeCell ref="J68:K68"/>
    <mergeCell ref="J48:K48"/>
    <mergeCell ref="J49:K49"/>
    <mergeCell ref="B60:J60"/>
    <mergeCell ref="B58:J58"/>
    <mergeCell ref="B56:J56"/>
    <mergeCell ref="B57:J57"/>
    <mergeCell ref="B51:J51"/>
    <mergeCell ref="B59:J59"/>
  </mergeCells>
  <dataValidations count="6">
    <dataValidation allowBlank="1" sqref="L28:L29"/>
    <dataValidation type="list" allowBlank="1" showInputMessage="1" showErrorMessage="1" sqref="J37:K37">
      <formula1>$N$34:$N$37</formula1>
    </dataValidation>
    <dataValidation type="list" allowBlank="1" showInputMessage="1" showErrorMessage="1" sqref="J41:K41">
      <formula1>$N$38:$N$41</formula1>
    </dataValidation>
    <dataValidation type="list" allowBlank="1" showInputMessage="1" showErrorMessage="1" sqref="J48:K48">
      <formula1>$N$45:$N$48</formula1>
    </dataValidation>
    <dataValidation type="list" allowBlank="1" showInputMessage="1" showErrorMessage="1" sqref="J49:K49">
      <formula1>$N$49:$N$50</formula1>
    </dataValidation>
    <dataValidation type="list" allowBlank="1" showInputMessage="1" showErrorMessage="1" sqref="J68:K68">
      <formula1>$N$68:$N$71</formula1>
    </dataValidation>
  </dataValidations>
  <printOptions horizontalCentered="1"/>
  <pageMargins left="0.31496062992125984" right="0.31496062992125984" top="0.17" bottom="0.17" header="0.17" footer="0.17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59"/>
  <sheetViews>
    <sheetView zoomScale="90" zoomScaleNormal="90" workbookViewId="0">
      <selection activeCell="A37" sqref="A37:G39"/>
    </sheetView>
  </sheetViews>
  <sheetFormatPr baseColWidth="10" defaultColWidth="11.44140625" defaultRowHeight="24.9" customHeight="1" x14ac:dyDescent="0.25"/>
  <cols>
    <col min="1" max="1" width="11.44140625" style="2"/>
    <col min="2" max="2" width="32.5546875" style="2" customWidth="1"/>
    <col min="3" max="5" width="11.44140625" style="2"/>
    <col min="6" max="6" width="24.88671875" style="2" customWidth="1"/>
    <col min="7" max="7" width="12.109375" style="2" customWidth="1"/>
    <col min="8" max="8" width="12.6640625" style="242" customWidth="1"/>
    <col min="9" max="9" width="12.6640625" style="2" customWidth="1"/>
    <col min="10" max="11" width="22.6640625" style="2" hidden="1" customWidth="1"/>
    <col min="12" max="12" width="12.109375" style="2" customWidth="1"/>
    <col min="13" max="13" width="12.109375" style="2" hidden="1" customWidth="1"/>
    <col min="14" max="14" width="36.109375" style="2" bestFit="1" customWidth="1"/>
    <col min="15" max="16" width="15.33203125" style="2" hidden="1" customWidth="1"/>
    <col min="17" max="16384" width="11.44140625" style="2"/>
  </cols>
  <sheetData>
    <row r="1" spans="1:17" s="1" customFormat="1" ht="24.9" customHeight="1" x14ac:dyDescent="0.25">
      <c r="A1" s="1" t="s">
        <v>47</v>
      </c>
      <c r="H1" s="241"/>
    </row>
    <row r="2" spans="1:17" s="1" customFormat="1" ht="24.9" customHeight="1" x14ac:dyDescent="0.25">
      <c r="H2" s="241"/>
    </row>
    <row r="3" spans="1:17" s="1" customFormat="1" ht="24.9" customHeight="1" x14ac:dyDescent="0.25">
      <c r="A3" s="327" t="s">
        <v>460</v>
      </c>
      <c r="B3" s="327"/>
      <c r="C3" s="327"/>
      <c r="D3" s="327"/>
      <c r="E3" s="327"/>
      <c r="F3" s="327"/>
      <c r="G3" s="327"/>
      <c r="H3" s="327"/>
      <c r="I3" s="327"/>
      <c r="J3" s="313"/>
      <c r="K3" s="313"/>
      <c r="L3" s="313"/>
    </row>
    <row r="5" spans="1:17" ht="32.25" customHeight="1" x14ac:dyDescent="0.25">
      <c r="A5" s="295" t="s">
        <v>455</v>
      </c>
      <c r="B5" s="7"/>
      <c r="C5" s="7"/>
      <c r="D5" s="7"/>
      <c r="E5" s="7"/>
      <c r="F5" s="7"/>
      <c r="G5" s="7"/>
      <c r="H5" s="246"/>
      <c r="I5" s="7"/>
      <c r="J5" s="7"/>
      <c r="K5" s="7"/>
      <c r="L5" s="3"/>
      <c r="M5" s="3"/>
      <c r="O5" s="3"/>
      <c r="P5" s="3"/>
    </row>
    <row r="6" spans="1:17" ht="24.9" customHeight="1" x14ac:dyDescent="0.25">
      <c r="A6" s="243" t="s">
        <v>9</v>
      </c>
      <c r="B6" s="388" t="s">
        <v>285</v>
      </c>
      <c r="C6" s="388"/>
      <c r="D6" s="388"/>
      <c r="E6" s="388"/>
      <c r="F6" s="388"/>
      <c r="G6" s="388"/>
      <c r="H6" s="243" t="s">
        <v>288</v>
      </c>
      <c r="I6" s="244" t="s">
        <v>8</v>
      </c>
      <c r="J6" s="244" t="s">
        <v>23</v>
      </c>
      <c r="K6" s="244" t="s">
        <v>24</v>
      </c>
    </row>
    <row r="7" spans="1:17" ht="24.9" customHeight="1" x14ac:dyDescent="0.25">
      <c r="A7" s="254" t="s">
        <v>289</v>
      </c>
      <c r="B7" s="392" t="s">
        <v>286</v>
      </c>
      <c r="C7" s="393"/>
      <c r="D7" s="393"/>
      <c r="E7" s="393"/>
      <c r="F7" s="393"/>
      <c r="G7" s="395"/>
      <c r="H7" s="395"/>
      <c r="I7" s="255">
        <f>IF(G7=M9,5,IF(G7=M8,3,0))</f>
        <v>0</v>
      </c>
      <c r="J7" s="25">
        <f>I7</f>
        <v>0</v>
      </c>
      <c r="K7" s="124">
        <f>J7</f>
        <v>0</v>
      </c>
      <c r="M7" t="s">
        <v>287</v>
      </c>
      <c r="N7" s="91" t="s">
        <v>435</v>
      </c>
      <c r="O7" s="91">
        <f>SUM(I7:I10)</f>
        <v>0</v>
      </c>
      <c r="P7" s="91">
        <v>1.25</v>
      </c>
      <c r="Q7" s="92">
        <f>O7*P7</f>
        <v>0</v>
      </c>
    </row>
    <row r="8" spans="1:17" ht="24.9" customHeight="1" x14ac:dyDescent="0.25">
      <c r="A8" s="254" t="s">
        <v>290</v>
      </c>
      <c r="B8" s="392" t="s">
        <v>291</v>
      </c>
      <c r="C8" s="393"/>
      <c r="D8" s="393"/>
      <c r="E8" s="393"/>
      <c r="F8" s="393"/>
      <c r="G8" s="395"/>
      <c r="H8" s="395"/>
      <c r="I8" s="255">
        <f>IF(G8=M9,5,IF(G8=M8,3,0))</f>
        <v>0</v>
      </c>
      <c r="J8" s="134"/>
      <c r="K8" s="134"/>
      <c r="M8" s="270" t="s">
        <v>456</v>
      </c>
      <c r="N8" s="106" t="s">
        <v>119</v>
      </c>
      <c r="O8" s="91">
        <f>I17</f>
        <v>0</v>
      </c>
      <c r="P8" s="91">
        <v>1</v>
      </c>
      <c r="Q8" s="92">
        <f t="shared" ref="Q8:Q10" si="0">O8*P8</f>
        <v>0</v>
      </c>
    </row>
    <row r="9" spans="1:17" ht="33" customHeight="1" x14ac:dyDescent="0.25">
      <c r="A9" s="134" t="s">
        <v>292</v>
      </c>
      <c r="B9" s="392" t="s">
        <v>295</v>
      </c>
      <c r="C9" s="393"/>
      <c r="D9" s="393"/>
      <c r="E9" s="393"/>
      <c r="F9" s="393"/>
      <c r="G9" s="394"/>
      <c r="H9" s="136"/>
      <c r="I9" s="134">
        <f>IF(H9&gt;=5,5,IF(H9=4,4,IF(H9=3,3,IF(H9=2,2,IF(H9=1,1,0)))))</f>
        <v>0</v>
      </c>
      <c r="J9" s="134"/>
      <c r="K9" s="134"/>
      <c r="M9" s="270" t="s">
        <v>457</v>
      </c>
      <c r="N9" s="91" t="s">
        <v>112</v>
      </c>
      <c r="O9" s="91">
        <f>SUM(I19:I33)</f>
        <v>0</v>
      </c>
      <c r="P9" s="271">
        <v>0.51</v>
      </c>
      <c r="Q9" s="92">
        <f t="shared" si="0"/>
        <v>0</v>
      </c>
    </row>
    <row r="10" spans="1:17" ht="24.9" customHeight="1" x14ac:dyDescent="0.25">
      <c r="A10" s="134" t="s">
        <v>293</v>
      </c>
      <c r="B10" s="392" t="s">
        <v>294</v>
      </c>
      <c r="C10" s="393"/>
      <c r="D10" s="393"/>
      <c r="E10" s="393"/>
      <c r="F10" s="393"/>
      <c r="G10" s="394"/>
      <c r="H10" s="136"/>
      <c r="I10" s="134">
        <f>IF(H10&gt;=5,5,IF(H10=4,4,IF(H10=3,3,IF(H10=2,2,IF(H10=1,1,0)))))</f>
        <v>0</v>
      </c>
      <c r="J10" s="134"/>
      <c r="K10" s="134"/>
      <c r="N10" s="91" t="s">
        <v>436</v>
      </c>
      <c r="O10" s="105">
        <f>SUM(I35:I40)</f>
        <v>0</v>
      </c>
      <c r="P10" s="271">
        <v>1.67</v>
      </c>
      <c r="Q10" s="92">
        <f t="shared" si="0"/>
        <v>0</v>
      </c>
    </row>
    <row r="11" spans="1:17" ht="24.75" customHeight="1" x14ac:dyDescent="0.25">
      <c r="A11" s="243" t="s">
        <v>9</v>
      </c>
      <c r="B11" s="389" t="s">
        <v>117</v>
      </c>
      <c r="C11" s="390"/>
      <c r="D11" s="390"/>
      <c r="E11" s="390"/>
      <c r="F11" s="391"/>
      <c r="G11" s="389" t="s">
        <v>307</v>
      </c>
      <c r="H11" s="391"/>
      <c r="I11" s="244" t="s">
        <v>8</v>
      </c>
      <c r="J11" s="124" t="e">
        <f>#REF!</f>
        <v>#REF!</v>
      </c>
      <c r="K11" s="124" t="e">
        <f>J11</f>
        <v>#REF!</v>
      </c>
      <c r="N11" s="91"/>
      <c r="O11" s="91">
        <v>109</v>
      </c>
      <c r="P11" s="91"/>
      <c r="Q11" s="92"/>
    </row>
    <row r="12" spans="1:17" ht="25.5" customHeight="1" x14ac:dyDescent="0.25">
      <c r="A12" s="108" t="s">
        <v>308</v>
      </c>
      <c r="B12" s="117" t="s">
        <v>302</v>
      </c>
      <c r="C12" s="47"/>
      <c r="D12" s="47"/>
      <c r="E12" s="47"/>
      <c r="F12" s="47"/>
      <c r="G12" s="399"/>
      <c r="H12" s="399"/>
      <c r="I12" s="46">
        <f>IF(G12=$Q$18,0,IF(G12=$Q$19,1,IF(G12=$Q$20,2,IF(G12=$Q$21,3,IF(G12=$Q$22,4,IF(G12=$Q$23,5,0))))))</f>
        <v>0</v>
      </c>
      <c r="J12" s="135"/>
      <c r="K12" s="136"/>
      <c r="N12" s="106"/>
      <c r="O12" s="91"/>
      <c r="P12" s="91"/>
      <c r="Q12" s="92"/>
    </row>
    <row r="13" spans="1:17" ht="25.5" customHeight="1" x14ac:dyDescent="0.25">
      <c r="A13" s="134" t="s">
        <v>309</v>
      </c>
      <c r="B13" s="117" t="s">
        <v>303</v>
      </c>
      <c r="C13" s="47"/>
      <c r="D13" s="47"/>
      <c r="E13" s="47"/>
      <c r="F13" s="47"/>
      <c r="G13" s="399"/>
      <c r="H13" s="399"/>
      <c r="I13" s="46">
        <f>IF(G13=$Q$18,0,IF(G13=$Q$19,1,IF(G13=$Q$20,2,IF(G13=$Q$21,3,IF(G13=$Q$22,4,IF(G13=$Q$23,5,0))))))</f>
        <v>0</v>
      </c>
      <c r="J13" s="116" t="s">
        <v>8</v>
      </c>
      <c r="K13" s="116" t="s">
        <v>8</v>
      </c>
      <c r="N13" s="28"/>
      <c r="O13" s="91"/>
      <c r="P13" s="91"/>
      <c r="Q13" s="92"/>
    </row>
    <row r="14" spans="1:17" ht="24.9" customHeight="1" x14ac:dyDescent="0.25">
      <c r="A14" s="134" t="s">
        <v>310</v>
      </c>
      <c r="B14" s="117" t="s">
        <v>304</v>
      </c>
      <c r="C14" s="47"/>
      <c r="D14" s="47"/>
      <c r="E14" s="47"/>
      <c r="F14" s="47"/>
      <c r="G14" s="399"/>
      <c r="H14" s="399"/>
      <c r="I14" s="46">
        <f>IF(G14=$Q$18,0,IF(G14=$Q$19,1,IF(G14=$Q$20,2,IF(G14=$Q$21,3,IF(G14=$Q$22,4,IF(G14=$Q$23,5,0))))))</f>
        <v>0</v>
      </c>
      <c r="J14" s="115"/>
      <c r="K14" s="115"/>
      <c r="N14" s="106"/>
      <c r="O14" s="91"/>
      <c r="P14" s="91"/>
      <c r="Q14" s="92"/>
    </row>
    <row r="15" spans="1:17" ht="24.75" customHeight="1" x14ac:dyDescent="0.25">
      <c r="A15" s="134" t="s">
        <v>311</v>
      </c>
      <c r="B15" s="117" t="s">
        <v>305</v>
      </c>
      <c r="C15" s="47"/>
      <c r="D15" s="47"/>
      <c r="E15" s="47"/>
      <c r="F15" s="47"/>
      <c r="G15" s="399"/>
      <c r="H15" s="399"/>
      <c r="I15" s="46">
        <f>IF(G15=$Q$18,0,IF(G15=$Q$19,1,IF(G15=$Q$20,2,IF(G15=$Q$21,3,IF(G15=$Q$22,4,IF(G15=$Q$23,5,0))))))</f>
        <v>0</v>
      </c>
      <c r="J15" s="46"/>
      <c r="K15" s="46"/>
      <c r="Q15" s="90"/>
    </row>
    <row r="16" spans="1:17" ht="24.9" customHeight="1" x14ac:dyDescent="0.25">
      <c r="A16" s="134" t="s">
        <v>312</v>
      </c>
      <c r="B16" s="117" t="s">
        <v>306</v>
      </c>
      <c r="C16" s="47"/>
      <c r="D16" s="47"/>
      <c r="E16" s="47"/>
      <c r="F16" s="47"/>
      <c r="G16" s="399"/>
      <c r="H16" s="399"/>
      <c r="I16" s="46">
        <f>IF(G16=$Q$18,0,IF(G16=$Q$19,1,IF(G16=$Q$20,2,IF(G16=$Q$21,3,IF(G16=$Q$22,4,IF(G16=$Q$23,5,0))))))</f>
        <v>0</v>
      </c>
      <c r="J16" s="114"/>
      <c r="K16" s="114"/>
      <c r="Q16" s="90"/>
    </row>
    <row r="17" spans="1:18" ht="24.9" customHeight="1" x14ac:dyDescent="0.25">
      <c r="A17" s="47"/>
      <c r="B17" s="47"/>
      <c r="C17" s="47"/>
      <c r="D17" s="47"/>
      <c r="E17" s="47"/>
      <c r="F17" s="48"/>
      <c r="G17" s="47"/>
      <c r="H17" s="135"/>
      <c r="I17" s="111">
        <f>SUM(I12:I16)</f>
        <v>0</v>
      </c>
      <c r="J17" s="114"/>
      <c r="K17" s="114"/>
    </row>
    <row r="18" spans="1:18" ht="24.9" customHeight="1" x14ac:dyDescent="0.25">
      <c r="A18" s="243" t="s">
        <v>9</v>
      </c>
      <c r="B18" s="388" t="s">
        <v>118</v>
      </c>
      <c r="C18" s="388"/>
      <c r="D18" s="388"/>
      <c r="E18" s="388"/>
      <c r="F18" s="388"/>
      <c r="G18" s="388" t="s">
        <v>35</v>
      </c>
      <c r="H18" s="243" t="s">
        <v>288</v>
      </c>
      <c r="I18" s="244" t="s">
        <v>8</v>
      </c>
      <c r="J18" s="25" t="s">
        <v>8</v>
      </c>
      <c r="K18" s="25" t="s">
        <v>8</v>
      </c>
      <c r="M18" s="31"/>
      <c r="Q18" s="16" t="s">
        <v>296</v>
      </c>
    </row>
    <row r="19" spans="1:18" ht="24.9" customHeight="1" x14ac:dyDescent="0.25">
      <c r="A19" s="400" t="s">
        <v>313</v>
      </c>
      <c r="B19" s="396" t="s">
        <v>319</v>
      </c>
      <c r="C19" s="397"/>
      <c r="D19" s="397"/>
      <c r="E19" s="397"/>
      <c r="F19" s="397"/>
      <c r="G19" s="398"/>
      <c r="H19" s="134"/>
      <c r="I19" s="25">
        <f>IF(H19="O",3,0)</f>
        <v>0</v>
      </c>
      <c r="J19" s="25">
        <f>IF($G$19="O",3,0)</f>
        <v>0</v>
      </c>
      <c r="K19" s="25">
        <f>IF($G$19="O",3,0)</f>
        <v>0</v>
      </c>
      <c r="Q19" s="16" t="s">
        <v>297</v>
      </c>
    </row>
    <row r="20" spans="1:18" ht="24.9" customHeight="1" x14ac:dyDescent="0.25">
      <c r="A20" s="401"/>
      <c r="B20" s="396" t="s">
        <v>320</v>
      </c>
      <c r="C20" s="397"/>
      <c r="D20" s="397"/>
      <c r="E20" s="397"/>
      <c r="F20" s="397"/>
      <c r="G20" s="398"/>
      <c r="H20" s="134"/>
      <c r="I20" s="255">
        <f t="shared" ref="I20:I21" si="1">IF(H20="O",3,0)</f>
        <v>0</v>
      </c>
      <c r="J20" s="25">
        <f>IF($G$20="O",3,0)</f>
        <v>0</v>
      </c>
      <c r="K20" s="25">
        <f>IF($G$20="O",3,0)</f>
        <v>0</v>
      </c>
      <c r="Q20" s="16" t="s">
        <v>298</v>
      </c>
    </row>
    <row r="21" spans="1:18" ht="24.9" customHeight="1" x14ac:dyDescent="0.25">
      <c r="A21" s="402"/>
      <c r="B21" s="396" t="s">
        <v>321</v>
      </c>
      <c r="C21" s="397"/>
      <c r="D21" s="397"/>
      <c r="E21" s="397"/>
      <c r="F21" s="397"/>
      <c r="G21" s="398"/>
      <c r="H21" s="134"/>
      <c r="I21" s="255">
        <f t="shared" si="1"/>
        <v>0</v>
      </c>
      <c r="J21" s="25">
        <f>IF($G$21="O",3,0)</f>
        <v>0</v>
      </c>
      <c r="K21" s="25">
        <f>IF($G$21="O",3,0)</f>
        <v>0</v>
      </c>
      <c r="Q21" s="16" t="s">
        <v>299</v>
      </c>
    </row>
    <row r="22" spans="1:18" ht="24.9" customHeight="1" x14ac:dyDescent="0.25">
      <c r="A22" s="46" t="s">
        <v>314</v>
      </c>
      <c r="B22" s="396" t="s">
        <v>333</v>
      </c>
      <c r="C22" s="397"/>
      <c r="D22" s="397"/>
      <c r="E22" s="397"/>
      <c r="F22" s="397"/>
      <c r="G22" s="398"/>
      <c r="H22" s="134"/>
      <c r="I22" s="134">
        <f>IF(H22&gt;=6,6,IF(H22=5,5,IF(H22=4,4,IF(H22=3,3,IF(H22=2,2,IF(H22=1,1,0))))))</f>
        <v>0</v>
      </c>
      <c r="J22" s="108">
        <f t="shared" ref="J22:K24" si="2">IF($G$23&gt;=90%,3,IF($G$23&gt;=70%,2,0))</f>
        <v>0</v>
      </c>
      <c r="K22" s="108">
        <f t="shared" si="2"/>
        <v>0</v>
      </c>
      <c r="Q22" s="16" t="s">
        <v>300</v>
      </c>
    </row>
    <row r="23" spans="1:18" ht="24.9" customHeight="1" x14ac:dyDescent="0.25">
      <c r="A23" s="46" t="s">
        <v>315</v>
      </c>
      <c r="B23" s="396" t="s">
        <v>334</v>
      </c>
      <c r="C23" s="397"/>
      <c r="D23" s="397"/>
      <c r="E23" s="397"/>
      <c r="F23" s="397"/>
      <c r="G23" s="398"/>
      <c r="H23" s="50"/>
      <c r="I23" s="134">
        <f t="shared" ref="I23:I24" si="3">IF(H23="O",3,0)</f>
        <v>0</v>
      </c>
      <c r="J23" s="108">
        <f t="shared" si="2"/>
        <v>0</v>
      </c>
      <c r="K23" s="108">
        <f t="shared" si="2"/>
        <v>0</v>
      </c>
      <c r="Q23" s="16" t="s">
        <v>301</v>
      </c>
    </row>
    <row r="24" spans="1:18" ht="24.9" customHeight="1" x14ac:dyDescent="0.25">
      <c r="A24" s="46" t="s">
        <v>316</v>
      </c>
      <c r="B24" s="396" t="s">
        <v>335</v>
      </c>
      <c r="C24" s="397"/>
      <c r="D24" s="397"/>
      <c r="E24" s="397"/>
      <c r="F24" s="397"/>
      <c r="G24" s="398"/>
      <c r="H24" s="50"/>
      <c r="I24" s="134">
        <f t="shared" si="3"/>
        <v>0</v>
      </c>
      <c r="J24" s="108">
        <f t="shared" si="2"/>
        <v>0</v>
      </c>
      <c r="K24" s="108">
        <f t="shared" si="2"/>
        <v>0</v>
      </c>
    </row>
    <row r="25" spans="1:18" ht="24.9" customHeight="1" x14ac:dyDescent="0.25">
      <c r="A25" s="46" t="s">
        <v>317</v>
      </c>
      <c r="B25" s="396" t="s">
        <v>336</v>
      </c>
      <c r="C25" s="397"/>
      <c r="D25" s="397"/>
      <c r="E25" s="397"/>
      <c r="F25" s="397"/>
      <c r="G25" s="398"/>
      <c r="H25" s="50"/>
      <c r="I25" s="134">
        <f>IF(H25="O",3,0)</f>
        <v>0</v>
      </c>
      <c r="J25" s="49"/>
      <c r="K25" s="49"/>
    </row>
    <row r="26" spans="1:18" ht="24.9" customHeight="1" x14ac:dyDescent="0.25">
      <c r="A26" s="46" t="s">
        <v>318</v>
      </c>
      <c r="B26" s="396" t="s">
        <v>122</v>
      </c>
      <c r="C26" s="397"/>
      <c r="D26" s="397"/>
      <c r="E26" s="397"/>
      <c r="F26" s="397"/>
      <c r="G26" s="398"/>
      <c r="H26" s="121"/>
      <c r="I26" s="134">
        <f>IF(H26&gt;=3,6,IF(H26=2,3,IF(H26=1,2,0)))</f>
        <v>0</v>
      </c>
      <c r="J26" s="25" t="s">
        <v>8</v>
      </c>
      <c r="K26" s="25" t="s">
        <v>8</v>
      </c>
    </row>
    <row r="27" spans="1:18" ht="31.5" customHeight="1" x14ac:dyDescent="0.25">
      <c r="A27" s="254" t="s">
        <v>323</v>
      </c>
      <c r="B27" s="392" t="s">
        <v>322</v>
      </c>
      <c r="C27" s="393"/>
      <c r="D27" s="393"/>
      <c r="E27" s="393"/>
      <c r="F27" s="393"/>
      <c r="G27" s="395"/>
      <c r="H27" s="395"/>
      <c r="I27" s="255">
        <f>IF(G27=M30,9,IF(G27=M29,6,IF(G27=M28,3,0)))</f>
        <v>0</v>
      </c>
      <c r="J27" s="114" t="e">
        <f>IF(#REF!&gt;=5,6,IF(#REF!&gt;=3,4,IF(#REF!&gt;=1,2,0)))</f>
        <v>#REF!</v>
      </c>
      <c r="K27" s="114" t="e">
        <f>IF(#REF!&gt;=5,6,IF(#REF!&gt;=3,4,IF(#REF!&gt;=1,2,0)))</f>
        <v>#REF!</v>
      </c>
      <c r="M27" t="s">
        <v>324</v>
      </c>
      <c r="N27"/>
      <c r="O27"/>
      <c r="P27"/>
      <c r="Q27"/>
      <c r="R27"/>
    </row>
    <row r="28" spans="1:18" ht="24.9" customHeight="1" x14ac:dyDescent="0.25">
      <c r="A28" s="400" t="s">
        <v>325</v>
      </c>
      <c r="B28" s="396" t="s">
        <v>326</v>
      </c>
      <c r="C28" s="397"/>
      <c r="D28" s="397"/>
      <c r="E28" s="397"/>
      <c r="F28" s="397"/>
      <c r="G28" s="398"/>
      <c r="H28" s="247"/>
      <c r="I28" s="245"/>
      <c r="J28" s="134"/>
      <c r="K28" s="134"/>
      <c r="M28" t="s">
        <v>337</v>
      </c>
      <c r="N28"/>
      <c r="O28"/>
      <c r="P28"/>
      <c r="Q28"/>
      <c r="R28"/>
    </row>
    <row r="29" spans="1:18" ht="24.9" customHeight="1" x14ac:dyDescent="0.25">
      <c r="A29" s="401"/>
      <c r="B29" s="403" t="s">
        <v>340</v>
      </c>
      <c r="C29" s="404"/>
      <c r="D29" s="404"/>
      <c r="E29" s="404"/>
      <c r="F29" s="404"/>
      <c r="G29" s="405"/>
      <c r="H29" s="136"/>
      <c r="I29" s="134">
        <f>IF(H29="O",1,0)</f>
        <v>0</v>
      </c>
      <c r="J29" s="114">
        <f t="shared" ref="J29:K29" si="4">IF($G$26&gt;=3,6,IF($G$26&gt;=2,4,IF($G$26&gt;=1,2,0)))</f>
        <v>0</v>
      </c>
      <c r="K29" s="114">
        <f t="shared" si="4"/>
        <v>0</v>
      </c>
      <c r="M29" t="s">
        <v>338</v>
      </c>
      <c r="N29"/>
      <c r="O29"/>
      <c r="P29"/>
      <c r="Q29"/>
      <c r="R29"/>
    </row>
    <row r="30" spans="1:18" ht="24.9" customHeight="1" x14ac:dyDescent="0.25">
      <c r="A30" s="401"/>
      <c r="B30" s="403" t="s">
        <v>341</v>
      </c>
      <c r="C30" s="404"/>
      <c r="D30" s="404"/>
      <c r="E30" s="404"/>
      <c r="F30" s="404"/>
      <c r="G30" s="405"/>
      <c r="H30" s="136"/>
      <c r="I30" s="134">
        <f t="shared" ref="I30:I31" si="5">IF(H30="O",1,0)</f>
        <v>0</v>
      </c>
      <c r="J30" s="48"/>
      <c r="K30" s="48"/>
      <c r="M30" t="s">
        <v>339</v>
      </c>
      <c r="N30"/>
      <c r="O30"/>
      <c r="P30"/>
      <c r="Q30"/>
      <c r="R30"/>
    </row>
    <row r="31" spans="1:18" ht="24.9" customHeight="1" x14ac:dyDescent="0.25">
      <c r="A31" s="402"/>
      <c r="B31" s="403" t="s">
        <v>342</v>
      </c>
      <c r="C31" s="404"/>
      <c r="D31" s="404"/>
      <c r="E31" s="404"/>
      <c r="F31" s="404"/>
      <c r="G31" s="405"/>
      <c r="H31" s="136"/>
      <c r="I31" s="134">
        <f t="shared" si="5"/>
        <v>0</v>
      </c>
      <c r="J31" s="25" t="s">
        <v>8</v>
      </c>
      <c r="K31" s="25" t="s">
        <v>8</v>
      </c>
    </row>
    <row r="32" spans="1:18" ht="24.75" customHeight="1" x14ac:dyDescent="0.25">
      <c r="A32" s="46" t="s">
        <v>327</v>
      </c>
      <c r="B32" s="396" t="s">
        <v>328</v>
      </c>
      <c r="C32" s="397"/>
      <c r="D32" s="397"/>
      <c r="E32" s="397"/>
      <c r="F32" s="397"/>
      <c r="G32" s="398"/>
      <c r="H32" s="134"/>
      <c r="I32" s="108">
        <f>IF(H32="O",3,0)</f>
        <v>0</v>
      </c>
      <c r="J32" s="109">
        <f>IF($G$28="O",3,0)</f>
        <v>0</v>
      </c>
      <c r="K32" s="109">
        <f>IF($G$28="O",3,0)</f>
        <v>0</v>
      </c>
    </row>
    <row r="33" spans="1:18" ht="32.25" customHeight="1" x14ac:dyDescent="0.25">
      <c r="A33" s="254" t="s">
        <v>329</v>
      </c>
      <c r="B33" s="392" t="s">
        <v>330</v>
      </c>
      <c r="C33" s="393"/>
      <c r="D33" s="393"/>
      <c r="E33" s="393"/>
      <c r="F33" s="393"/>
      <c r="G33" s="395"/>
      <c r="H33" s="395"/>
      <c r="I33" s="255">
        <f>IF(G33=M34,4,IF(G33=M33,2,0))</f>
        <v>0</v>
      </c>
      <c r="J33" s="114">
        <f>$I39</f>
        <v>0</v>
      </c>
      <c r="K33" s="114">
        <f>$I39</f>
        <v>0</v>
      </c>
      <c r="M33" t="s">
        <v>331</v>
      </c>
      <c r="N33"/>
      <c r="O33"/>
      <c r="P33"/>
      <c r="Q33"/>
      <c r="R33"/>
    </row>
    <row r="34" spans="1:18" ht="24.9" customHeight="1" x14ac:dyDescent="0.25">
      <c r="A34" s="243" t="s">
        <v>9</v>
      </c>
      <c r="B34" s="388" t="s">
        <v>343</v>
      </c>
      <c r="C34" s="388"/>
      <c r="D34" s="388"/>
      <c r="E34" s="388"/>
      <c r="F34" s="388"/>
      <c r="G34" s="388"/>
      <c r="H34" s="243" t="s">
        <v>288</v>
      </c>
      <c r="I34" s="244" t="s">
        <v>8</v>
      </c>
      <c r="J34" s="134"/>
      <c r="K34" s="134"/>
      <c r="M34" s="270" t="s">
        <v>332</v>
      </c>
      <c r="N34"/>
      <c r="O34"/>
      <c r="P34"/>
      <c r="Q34"/>
      <c r="R34"/>
    </row>
    <row r="35" spans="1:18" ht="24.9" customHeight="1" x14ac:dyDescent="0.25">
      <c r="A35" s="46" t="s">
        <v>345</v>
      </c>
      <c r="B35" s="392" t="s">
        <v>344</v>
      </c>
      <c r="C35" s="393"/>
      <c r="D35" s="393"/>
      <c r="E35" s="393"/>
      <c r="F35" s="393"/>
      <c r="G35" s="394"/>
      <c r="H35" s="248"/>
      <c r="I35" s="134">
        <f>IF(H35="O",2,0)</f>
        <v>0</v>
      </c>
      <c r="J35" s="134"/>
      <c r="K35" s="134"/>
    </row>
    <row r="36" spans="1:18" ht="24.9" customHeight="1" x14ac:dyDescent="0.25">
      <c r="A36" s="46" t="s">
        <v>347</v>
      </c>
      <c r="B36" s="392" t="s">
        <v>346</v>
      </c>
      <c r="C36" s="393"/>
      <c r="D36" s="393"/>
      <c r="E36" s="393"/>
      <c r="F36" s="393"/>
      <c r="G36" s="394"/>
      <c r="H36" s="248"/>
      <c r="I36" s="134">
        <f>IF(H36="O",3,0)</f>
        <v>0</v>
      </c>
      <c r="J36" s="134"/>
      <c r="K36" s="134"/>
    </row>
    <row r="37" spans="1:18" ht="24.9" customHeight="1" x14ac:dyDescent="0.25">
      <c r="A37" s="315" t="s">
        <v>348</v>
      </c>
      <c r="B37" s="409" t="s">
        <v>352</v>
      </c>
      <c r="C37" s="410"/>
      <c r="D37" s="410"/>
      <c r="E37" s="410"/>
      <c r="F37" s="410"/>
      <c r="G37" s="411"/>
      <c r="H37" s="248"/>
      <c r="I37" s="134">
        <f>IF(H37="O",2,0)</f>
        <v>0</v>
      </c>
      <c r="J37" s="134"/>
      <c r="K37" s="134"/>
    </row>
    <row r="38" spans="1:18" ht="24.9" customHeight="1" x14ac:dyDescent="0.25">
      <c r="A38" s="315" t="s">
        <v>349</v>
      </c>
      <c r="B38" s="409" t="s">
        <v>353</v>
      </c>
      <c r="C38" s="410"/>
      <c r="D38" s="410"/>
      <c r="E38" s="410"/>
      <c r="F38" s="410"/>
      <c r="G38" s="411"/>
      <c r="H38" s="248"/>
      <c r="I38" s="134">
        <f>IF(H38="O",3,0)</f>
        <v>0</v>
      </c>
      <c r="J38" s="114">
        <f>$I40</f>
        <v>0</v>
      </c>
      <c r="K38" s="114">
        <f>$I40</f>
        <v>0</v>
      </c>
      <c r="M38"/>
    </row>
    <row r="39" spans="1:18" ht="24.9" customHeight="1" x14ac:dyDescent="0.25">
      <c r="A39" s="315" t="s">
        <v>350</v>
      </c>
      <c r="B39" s="409" t="s">
        <v>354</v>
      </c>
      <c r="C39" s="410"/>
      <c r="D39" s="410"/>
      <c r="E39" s="410"/>
      <c r="F39" s="410"/>
      <c r="G39" s="411"/>
      <c r="H39" s="248"/>
      <c r="I39" s="134">
        <f>IF(H39="O",2,0)</f>
        <v>0</v>
      </c>
      <c r="J39" s="19"/>
      <c r="K39" s="19"/>
      <c r="M39"/>
    </row>
    <row r="40" spans="1:18" ht="24.9" customHeight="1" x14ac:dyDescent="0.25">
      <c r="A40" s="46" t="s">
        <v>351</v>
      </c>
      <c r="B40" s="392" t="s">
        <v>355</v>
      </c>
      <c r="C40" s="393"/>
      <c r="D40" s="393"/>
      <c r="E40" s="393"/>
      <c r="F40" s="393"/>
      <c r="G40" s="394"/>
      <c r="H40" s="248"/>
      <c r="I40" s="134">
        <f>IF(H40="O",3,0)</f>
        <v>0</v>
      </c>
      <c r="J40" s="19"/>
      <c r="K40" s="19"/>
      <c r="M40"/>
    </row>
    <row r="41" spans="1:18" ht="24.9" customHeight="1" x14ac:dyDescent="0.25">
      <c r="A41" s="49"/>
      <c r="B41" s="49"/>
      <c r="C41" s="49"/>
      <c r="D41" s="49"/>
      <c r="E41" s="49"/>
      <c r="F41" s="49"/>
      <c r="G41" s="49"/>
      <c r="H41" s="249"/>
      <c r="I41" s="49"/>
      <c r="J41" s="19"/>
      <c r="K41" s="19"/>
      <c r="M41"/>
    </row>
    <row r="42" spans="1:18" ht="24.75" customHeight="1" x14ac:dyDescent="0.25">
      <c r="A42" s="49"/>
      <c r="B42" s="49"/>
      <c r="C42" s="49"/>
      <c r="D42" s="49"/>
      <c r="E42" s="49"/>
      <c r="F42" s="406" t="s">
        <v>1</v>
      </c>
      <c r="G42" s="412"/>
      <c r="H42" s="407"/>
      <c r="I42" s="37">
        <f>(SUM(I7:I10)+I17+SUM(I19:I40))</f>
        <v>0</v>
      </c>
      <c r="J42" s="49"/>
      <c r="K42" s="49"/>
      <c r="M42"/>
    </row>
    <row r="43" spans="1:18" ht="24.75" customHeight="1" x14ac:dyDescent="0.25">
      <c r="A43" s="49"/>
      <c r="B43" s="49"/>
      <c r="C43" s="49"/>
      <c r="D43" s="49"/>
      <c r="E43" s="49"/>
      <c r="F43" s="49"/>
      <c r="G43" s="49"/>
      <c r="H43" s="249"/>
      <c r="I43" s="49"/>
      <c r="J43" s="49"/>
      <c r="K43" s="49"/>
      <c r="M43"/>
    </row>
    <row r="44" spans="1:18" ht="24.9" customHeight="1" x14ac:dyDescent="0.25">
      <c r="A44" s="49"/>
      <c r="B44" s="49"/>
      <c r="C44" s="49"/>
      <c r="D44" s="49"/>
      <c r="E44" s="49"/>
      <c r="F44" s="408" t="s">
        <v>36</v>
      </c>
      <c r="G44" s="408"/>
      <c r="H44" s="406" t="str">
        <f>IF(I42&gt;=60,"ELITE",IF(I42&gt;=50,"EXCELLENCE",IF(I42&gt;=40,"ESPOIR","")))</f>
        <v/>
      </c>
      <c r="I44" s="407"/>
      <c r="J44" s="25" t="s">
        <v>8</v>
      </c>
      <c r="K44" s="25" t="s">
        <v>8</v>
      </c>
    </row>
    <row r="45" spans="1:18" ht="24.9" customHeight="1" x14ac:dyDescent="0.25">
      <c r="A45" s="54" t="s">
        <v>356</v>
      </c>
      <c r="B45" s="49"/>
      <c r="C45" s="49"/>
      <c r="D45" s="49"/>
      <c r="E45" s="49"/>
      <c r="F45" s="49"/>
      <c r="G45" s="49"/>
      <c r="H45" s="249"/>
      <c r="I45" s="49"/>
      <c r="J45" s="25">
        <f>$I35</f>
        <v>0</v>
      </c>
      <c r="K45" s="114">
        <f>$I35</f>
        <v>0</v>
      </c>
    </row>
    <row r="46" spans="1:18" ht="24.9" customHeight="1" x14ac:dyDescent="0.25">
      <c r="J46" s="49"/>
      <c r="K46" s="49"/>
    </row>
    <row r="47" spans="1:18" ht="24.9" customHeight="1" x14ac:dyDescent="0.25">
      <c r="J47" s="22" t="e">
        <f>IF(#REF!&gt;=70,"validé","non validé")</f>
        <v>#REF!</v>
      </c>
      <c r="K47" s="22" t="e">
        <f>IF(#REF!&gt;=80,"validé","non validé")</f>
        <v>#REF!</v>
      </c>
    </row>
    <row r="48" spans="1:18" ht="24.9" customHeight="1" x14ac:dyDescent="0.25">
      <c r="J48" s="17"/>
      <c r="K48" s="17"/>
    </row>
    <row r="49" spans="10:12" ht="24.9" customHeight="1" x14ac:dyDescent="0.25">
      <c r="J49" s="133" t="e">
        <f>IF(#REF!&gt;=70,"validé","non validé")</f>
        <v>#REF!</v>
      </c>
      <c r="K49" s="133" t="e">
        <f>IF(#REF!&gt;=80,"validé","non validé")</f>
        <v>#REF!</v>
      </c>
    </row>
    <row r="50" spans="10:12" ht="24.9" customHeight="1" x14ac:dyDescent="0.25">
      <c r="J50" s="17"/>
      <c r="K50" s="17"/>
    </row>
    <row r="51" spans="10:12" ht="24.9" customHeight="1" x14ac:dyDescent="0.25">
      <c r="J51" s="133" t="e">
        <f>IF(#REF!&gt;=70,"validé","non validé")</f>
        <v>#REF!</v>
      </c>
      <c r="K51" s="133" t="e">
        <f>IF(#REF!&gt;=80,"validé","non validé")</f>
        <v>#REF!</v>
      </c>
    </row>
    <row r="52" spans="10:12" ht="24.9" customHeight="1" x14ac:dyDescent="0.25">
      <c r="J52" s="17"/>
      <c r="K52" s="17"/>
    </row>
    <row r="59" spans="10:12" ht="24.9" customHeight="1" x14ac:dyDescent="0.25">
      <c r="L59" s="31"/>
    </row>
  </sheetData>
  <mergeCells count="45">
    <mergeCell ref="B30:G30"/>
    <mergeCell ref="B31:G31"/>
    <mergeCell ref="H44:I44"/>
    <mergeCell ref="B32:G32"/>
    <mergeCell ref="B40:G40"/>
    <mergeCell ref="B34:G34"/>
    <mergeCell ref="F44:G44"/>
    <mergeCell ref="B35:G35"/>
    <mergeCell ref="B39:G39"/>
    <mergeCell ref="B33:F33"/>
    <mergeCell ref="G33:H33"/>
    <mergeCell ref="F42:H42"/>
    <mergeCell ref="B36:G36"/>
    <mergeCell ref="B37:G37"/>
    <mergeCell ref="B38:G38"/>
    <mergeCell ref="A28:A31"/>
    <mergeCell ref="G12:H12"/>
    <mergeCell ref="G13:H13"/>
    <mergeCell ref="G14:H14"/>
    <mergeCell ref="G11:H11"/>
    <mergeCell ref="B21:G21"/>
    <mergeCell ref="B23:G23"/>
    <mergeCell ref="A19:A21"/>
    <mergeCell ref="B22:G22"/>
    <mergeCell ref="B26:G26"/>
    <mergeCell ref="B24:G24"/>
    <mergeCell ref="B25:G25"/>
    <mergeCell ref="B27:F27"/>
    <mergeCell ref="G27:H27"/>
    <mergeCell ref="B28:G28"/>
    <mergeCell ref="B29:G29"/>
    <mergeCell ref="B18:G18"/>
    <mergeCell ref="B19:G19"/>
    <mergeCell ref="B20:G20"/>
    <mergeCell ref="G15:H15"/>
    <mergeCell ref="G16:H16"/>
    <mergeCell ref="A3:I3"/>
    <mergeCell ref="B6:G6"/>
    <mergeCell ref="B11:F11"/>
    <mergeCell ref="B9:G9"/>
    <mergeCell ref="B10:G10"/>
    <mergeCell ref="G7:H7"/>
    <mergeCell ref="B7:F7"/>
    <mergeCell ref="B8:F8"/>
    <mergeCell ref="G8:H8"/>
  </mergeCells>
  <dataValidations count="4">
    <dataValidation type="list" allowBlank="1" showInputMessage="1" showErrorMessage="1" sqref="G12:H16">
      <formula1>$Q$18:$Q$23</formula1>
    </dataValidation>
    <dataValidation type="list" allowBlank="1" showInputMessage="1" showErrorMessage="1" sqref="G7:H8">
      <formula1>$M$7:$M$9</formula1>
    </dataValidation>
    <dataValidation type="list" allowBlank="1" showInputMessage="1" showErrorMessage="1" sqref="G27:H27">
      <formula1>$M$27:$M$30</formula1>
    </dataValidation>
    <dataValidation type="list" allowBlank="1" showInputMessage="1" showErrorMessage="1" sqref="G33:H33">
      <formula1>$M$33:$M$34</formula1>
    </dataValidation>
  </dataValidations>
  <printOptions horizontalCentered="1"/>
  <pageMargins left="0.31496062992125984" right="0.31496062992125984" top="0.35" bottom="0.17" header="0.31496062992125984" footer="0.31496062992125984"/>
  <pageSetup paperSize="9" scale="7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2"/>
  <sheetViews>
    <sheetView zoomScale="90" zoomScaleNormal="90" workbookViewId="0">
      <selection activeCell="B28" sqref="B28:J28"/>
    </sheetView>
  </sheetViews>
  <sheetFormatPr baseColWidth="10" defaultColWidth="11.44140625" defaultRowHeight="24.9" customHeight="1" x14ac:dyDescent="0.25"/>
  <cols>
    <col min="1" max="7" width="11.44140625" style="28"/>
    <col min="8" max="10" width="11.44140625" style="28" customWidth="1"/>
    <col min="11" max="11" width="12.6640625" style="28" customWidth="1"/>
    <col min="12" max="12" width="11.44140625" style="28" customWidth="1"/>
    <col min="13" max="13" width="15.33203125" style="28" customWidth="1"/>
    <col min="14" max="14" width="23.5546875" style="28" bestFit="1" customWidth="1"/>
    <col min="15" max="16" width="11.44140625" style="28" hidden="1" customWidth="1"/>
    <col min="17" max="16384" width="11.44140625" style="28"/>
  </cols>
  <sheetData>
    <row r="1" spans="1:17" s="1" customFormat="1" ht="24.9" customHeight="1" x14ac:dyDescent="0.25">
      <c r="A1" s="1" t="s">
        <v>46</v>
      </c>
    </row>
    <row r="2" spans="1:17" s="1" customFormat="1" ht="24.9" customHeight="1" x14ac:dyDescent="0.25"/>
    <row r="3" spans="1:17" s="1" customFormat="1" ht="24.9" customHeight="1" x14ac:dyDescent="0.25">
      <c r="A3" s="327" t="s">
        <v>462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5" spans="1:17" ht="24.9" customHeight="1" x14ac:dyDescent="0.25">
      <c r="A5" s="11" t="s">
        <v>37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7" ht="24.9" customHeight="1" x14ac:dyDescent="0.25">
      <c r="A6" s="243" t="s">
        <v>9</v>
      </c>
      <c r="B6" s="389" t="s">
        <v>369</v>
      </c>
      <c r="C6" s="390"/>
      <c r="D6" s="390"/>
      <c r="E6" s="390"/>
      <c r="F6" s="390"/>
      <c r="G6" s="390"/>
      <c r="H6" s="390"/>
      <c r="I6" s="390"/>
      <c r="J6" s="391"/>
      <c r="K6" s="243" t="s">
        <v>11</v>
      </c>
      <c r="L6" s="250" t="s">
        <v>8</v>
      </c>
    </row>
    <row r="7" spans="1:17" ht="24.9" customHeight="1" x14ac:dyDescent="0.25">
      <c r="A7" s="12" t="s">
        <v>357</v>
      </c>
      <c r="B7" s="413" t="s">
        <v>358</v>
      </c>
      <c r="C7" s="414"/>
      <c r="D7" s="414"/>
      <c r="E7" s="414"/>
      <c r="F7" s="414"/>
      <c r="G7" s="414"/>
      <c r="H7" s="414"/>
      <c r="I7" s="414"/>
      <c r="J7" s="415"/>
      <c r="K7" s="12"/>
      <c r="L7" s="12">
        <f>IF(K7="O",5,0)</f>
        <v>0</v>
      </c>
      <c r="N7" s="28" t="s">
        <v>438</v>
      </c>
      <c r="O7" s="28">
        <f>SUM(L7:L14)</f>
        <v>0</v>
      </c>
      <c r="P7" s="272">
        <v>0.71</v>
      </c>
      <c r="Q7" s="94">
        <f>O7*P7</f>
        <v>0</v>
      </c>
    </row>
    <row r="8" spans="1:17" ht="24.9" customHeight="1" x14ac:dyDescent="0.25">
      <c r="A8" s="139" t="s">
        <v>439</v>
      </c>
      <c r="B8" s="416" t="s">
        <v>361</v>
      </c>
      <c r="C8" s="416"/>
      <c r="D8" s="416"/>
      <c r="E8" s="416"/>
      <c r="F8" s="416"/>
      <c r="G8" s="416"/>
      <c r="H8" s="416"/>
      <c r="I8" s="416"/>
      <c r="J8" s="416"/>
      <c r="K8" s="12"/>
      <c r="L8" s="12">
        <f>IF(K8="O",5,0)</f>
        <v>0</v>
      </c>
      <c r="N8" s="28" t="s">
        <v>439</v>
      </c>
      <c r="O8" s="28">
        <f>SUM(L16:L29)</f>
        <v>0</v>
      </c>
      <c r="P8" s="272">
        <v>0.56000000000000005</v>
      </c>
      <c r="Q8" s="94">
        <f t="shared" ref="Q8:Q9" si="0">O8*P8</f>
        <v>0</v>
      </c>
    </row>
    <row r="9" spans="1:17" ht="24.9" customHeight="1" x14ac:dyDescent="0.25">
      <c r="A9" s="420" t="s">
        <v>359</v>
      </c>
      <c r="B9" s="413" t="s">
        <v>362</v>
      </c>
      <c r="C9" s="414"/>
      <c r="D9" s="414"/>
      <c r="E9" s="414"/>
      <c r="F9" s="414"/>
      <c r="G9" s="414"/>
      <c r="H9" s="414"/>
      <c r="I9" s="414"/>
      <c r="J9" s="415"/>
      <c r="K9" s="251"/>
      <c r="L9" s="251"/>
      <c r="N9" s="28" t="s">
        <v>111</v>
      </c>
      <c r="O9" s="28">
        <f>SUM(L32:L37)</f>
        <v>0</v>
      </c>
      <c r="P9" s="272">
        <v>1.25</v>
      </c>
      <c r="Q9" s="94">
        <f t="shared" si="0"/>
        <v>0</v>
      </c>
    </row>
    <row r="10" spans="1:17" ht="24.9" customHeight="1" x14ac:dyDescent="0.25">
      <c r="A10" s="421"/>
      <c r="B10" s="417" t="s">
        <v>363</v>
      </c>
      <c r="C10" s="418"/>
      <c r="D10" s="418"/>
      <c r="E10" s="418"/>
      <c r="F10" s="418"/>
      <c r="G10" s="418"/>
      <c r="H10" s="418"/>
      <c r="I10" s="418"/>
      <c r="J10" s="419"/>
      <c r="K10" s="12"/>
      <c r="L10" s="12">
        <f>IF(K10="O",5,0)</f>
        <v>0</v>
      </c>
      <c r="O10" s="28">
        <v>100</v>
      </c>
      <c r="Q10" s="94"/>
    </row>
    <row r="11" spans="1:17" ht="24.9" customHeight="1" x14ac:dyDescent="0.25">
      <c r="A11" s="421"/>
      <c r="B11" s="417" t="s">
        <v>364</v>
      </c>
      <c r="C11" s="418"/>
      <c r="D11" s="418"/>
      <c r="E11" s="418"/>
      <c r="F11" s="418"/>
      <c r="G11" s="418"/>
      <c r="H11" s="418"/>
      <c r="I11" s="418"/>
      <c r="J11" s="419"/>
      <c r="K11" s="12"/>
      <c r="L11" s="12">
        <f>IF(K11="O",5,0)</f>
        <v>0</v>
      </c>
      <c r="Q11" s="94"/>
    </row>
    <row r="12" spans="1:17" ht="24.9" customHeight="1" x14ac:dyDescent="0.25">
      <c r="A12" s="422"/>
      <c r="B12" s="417" t="s">
        <v>365</v>
      </c>
      <c r="C12" s="418"/>
      <c r="D12" s="418"/>
      <c r="E12" s="418"/>
      <c r="F12" s="418"/>
      <c r="G12" s="418"/>
      <c r="H12" s="418"/>
      <c r="I12" s="418"/>
      <c r="J12" s="419"/>
      <c r="K12" s="12"/>
      <c r="L12" s="12">
        <f>IF(K12="O",5,0)</f>
        <v>0</v>
      </c>
      <c r="Q12" s="94"/>
    </row>
    <row r="13" spans="1:17" ht="24.9" customHeight="1" x14ac:dyDescent="0.25">
      <c r="A13" s="139" t="s">
        <v>360</v>
      </c>
      <c r="B13" s="413" t="s">
        <v>366</v>
      </c>
      <c r="C13" s="414"/>
      <c r="D13" s="414"/>
      <c r="E13" s="414"/>
      <c r="F13" s="414"/>
      <c r="G13" s="414"/>
      <c r="H13" s="414"/>
      <c r="I13" s="414"/>
      <c r="J13" s="415"/>
      <c r="K13" s="12"/>
      <c r="L13" s="12">
        <f>IF(K13="O",5,0)</f>
        <v>0</v>
      </c>
      <c r="Q13" s="94"/>
    </row>
    <row r="14" spans="1:17" ht="24.9" customHeight="1" x14ac:dyDescent="0.25">
      <c r="A14" s="139" t="s">
        <v>367</v>
      </c>
      <c r="B14" s="413" t="s">
        <v>368</v>
      </c>
      <c r="C14" s="414"/>
      <c r="D14" s="414"/>
      <c r="E14" s="414"/>
      <c r="F14" s="414"/>
      <c r="G14" s="414"/>
      <c r="H14" s="414"/>
      <c r="I14" s="414"/>
      <c r="J14" s="415"/>
      <c r="K14" s="12"/>
      <c r="L14" s="12">
        <f>IF(K14="O",5,0)</f>
        <v>0</v>
      </c>
      <c r="Q14" s="94"/>
    </row>
    <row r="15" spans="1:17" ht="24.9" customHeight="1" x14ac:dyDescent="0.25">
      <c r="A15" s="243" t="s">
        <v>9</v>
      </c>
      <c r="B15" s="389" t="s">
        <v>370</v>
      </c>
      <c r="C15" s="390"/>
      <c r="D15" s="390"/>
      <c r="E15" s="390"/>
      <c r="F15" s="390"/>
      <c r="G15" s="390"/>
      <c r="H15" s="390"/>
      <c r="I15" s="390"/>
      <c r="J15" s="391"/>
      <c r="K15" s="243" t="s">
        <v>7</v>
      </c>
      <c r="L15" s="250" t="s">
        <v>8</v>
      </c>
    </row>
    <row r="16" spans="1:17" ht="24.9" customHeight="1" x14ac:dyDescent="0.25">
      <c r="A16" s="12" t="s">
        <v>371</v>
      </c>
      <c r="B16" s="413" t="s">
        <v>38</v>
      </c>
      <c r="C16" s="414"/>
      <c r="D16" s="414"/>
      <c r="E16" s="414"/>
      <c r="F16" s="414"/>
      <c r="G16" s="414"/>
      <c r="H16" s="414"/>
      <c r="I16" s="414"/>
      <c r="J16" s="414"/>
      <c r="K16" s="52"/>
      <c r="L16" s="12">
        <f>IF(K16&gt;=75%,10,IF(K16&gt;=50%,7,IF(K16&gt;=25%,3,0)))</f>
        <v>0</v>
      </c>
    </row>
    <row r="17" spans="1:14" ht="24.9" customHeight="1" x14ac:dyDescent="0.25">
      <c r="A17" s="139" t="s">
        <v>372</v>
      </c>
      <c r="B17" s="413" t="s">
        <v>373</v>
      </c>
      <c r="C17" s="414"/>
      <c r="D17" s="414"/>
      <c r="E17" s="414"/>
      <c r="F17" s="414"/>
      <c r="G17" s="414"/>
      <c r="H17" s="414"/>
      <c r="I17" s="414"/>
      <c r="J17" s="414"/>
      <c r="K17" s="52"/>
      <c r="L17" s="139">
        <f>IF(K17="O",5,0)</f>
        <v>0</v>
      </c>
    </row>
    <row r="18" spans="1:14" ht="24.9" customHeight="1" x14ac:dyDescent="0.25">
      <c r="A18" s="139" t="s">
        <v>374</v>
      </c>
      <c r="B18" s="413" t="s">
        <v>375</v>
      </c>
      <c r="C18" s="414"/>
      <c r="D18" s="414"/>
      <c r="E18" s="414"/>
      <c r="F18" s="414"/>
      <c r="G18" s="414"/>
      <c r="H18" s="414"/>
      <c r="I18" s="414"/>
      <c r="J18" s="414"/>
      <c r="K18" s="252"/>
      <c r="L18" s="139">
        <f>IF(K18&gt;=7,9,IF(K18&gt;=4,6,IF(K18&gt;=1,3,0)))</f>
        <v>0</v>
      </c>
    </row>
    <row r="19" spans="1:14" ht="24.9" customHeight="1" x14ac:dyDescent="0.25">
      <c r="A19" s="420" t="s">
        <v>377</v>
      </c>
      <c r="B19" s="137" t="s">
        <v>376</v>
      </c>
      <c r="C19" s="138"/>
      <c r="D19" s="138"/>
      <c r="E19" s="138"/>
      <c r="F19" s="138"/>
      <c r="G19" s="138"/>
      <c r="H19" s="138"/>
      <c r="I19" s="138"/>
      <c r="J19" s="138"/>
      <c r="K19" s="251"/>
      <c r="L19" s="251"/>
    </row>
    <row r="20" spans="1:14" ht="25.5" customHeight="1" x14ac:dyDescent="0.25">
      <c r="A20" s="421"/>
      <c r="B20" s="417" t="s">
        <v>39</v>
      </c>
      <c r="C20" s="418"/>
      <c r="D20" s="418"/>
      <c r="E20" s="418"/>
      <c r="F20" s="418"/>
      <c r="G20" s="418"/>
      <c r="H20" s="418"/>
      <c r="I20" s="418"/>
      <c r="J20" s="419"/>
      <c r="K20" s="12"/>
      <c r="L20" s="420">
        <f>IF(N20&gt;=6,15,IF(N20&gt;=5,14,IF(N20&gt;=4,12,IF(N20&gt;=3,10,IF(N20&gt;=2,8,IF(N20&gt;=1,4,0))))))</f>
        <v>0</v>
      </c>
      <c r="M20" s="253">
        <f>IF(K20="O",1,0)</f>
        <v>0</v>
      </c>
      <c r="N20" s="16">
        <f>SUM(M20:M25)</f>
        <v>0</v>
      </c>
    </row>
    <row r="21" spans="1:14" ht="24.9" customHeight="1" x14ac:dyDescent="0.25">
      <c r="A21" s="421"/>
      <c r="B21" s="417" t="s">
        <v>43</v>
      </c>
      <c r="C21" s="418"/>
      <c r="D21" s="418"/>
      <c r="E21" s="418"/>
      <c r="F21" s="418"/>
      <c r="G21" s="418"/>
      <c r="H21" s="418"/>
      <c r="I21" s="418"/>
      <c r="J21" s="419"/>
      <c r="K21" s="12"/>
      <c r="L21" s="421"/>
      <c r="M21" s="253">
        <f t="shared" ref="M21:M25" si="1">IF(K21="O",1,0)</f>
        <v>0</v>
      </c>
      <c r="N21" s="16"/>
    </row>
    <row r="22" spans="1:14" ht="24.9" customHeight="1" x14ac:dyDescent="0.25">
      <c r="A22" s="421"/>
      <c r="B22" s="417" t="s">
        <v>40</v>
      </c>
      <c r="C22" s="418"/>
      <c r="D22" s="418"/>
      <c r="E22" s="418"/>
      <c r="F22" s="418"/>
      <c r="G22" s="418"/>
      <c r="H22" s="418"/>
      <c r="I22" s="418"/>
      <c r="J22" s="419"/>
      <c r="K22" s="12"/>
      <c r="L22" s="421"/>
      <c r="M22" s="253">
        <f t="shared" si="1"/>
        <v>0</v>
      </c>
      <c r="N22" s="16"/>
    </row>
    <row r="23" spans="1:14" ht="25.5" customHeight="1" x14ac:dyDescent="0.25">
      <c r="A23" s="421"/>
      <c r="B23" s="417" t="s">
        <v>44</v>
      </c>
      <c r="C23" s="418"/>
      <c r="D23" s="418"/>
      <c r="E23" s="418"/>
      <c r="F23" s="418"/>
      <c r="G23" s="418"/>
      <c r="H23" s="418"/>
      <c r="I23" s="418"/>
      <c r="J23" s="419"/>
      <c r="K23" s="51"/>
      <c r="L23" s="421"/>
      <c r="M23" s="253">
        <f t="shared" si="1"/>
        <v>0</v>
      </c>
      <c r="N23" s="16"/>
    </row>
    <row r="24" spans="1:14" ht="24.75" customHeight="1" x14ac:dyDescent="0.25">
      <c r="A24" s="421"/>
      <c r="B24" s="417" t="s">
        <v>42</v>
      </c>
      <c r="C24" s="418"/>
      <c r="D24" s="418"/>
      <c r="E24" s="418"/>
      <c r="F24" s="418"/>
      <c r="G24" s="418"/>
      <c r="H24" s="418"/>
      <c r="I24" s="418"/>
      <c r="J24" s="419"/>
      <c r="K24" s="51"/>
      <c r="L24" s="421"/>
      <c r="M24" s="253">
        <f t="shared" si="1"/>
        <v>0</v>
      </c>
      <c r="N24" s="16"/>
    </row>
    <row r="25" spans="1:14" ht="23.25" customHeight="1" x14ac:dyDescent="0.25">
      <c r="A25" s="422"/>
      <c r="B25" s="417" t="s">
        <v>41</v>
      </c>
      <c r="C25" s="418"/>
      <c r="D25" s="418"/>
      <c r="E25" s="418"/>
      <c r="F25" s="418"/>
      <c r="G25" s="418"/>
      <c r="H25" s="418"/>
      <c r="I25" s="418"/>
      <c r="J25" s="419"/>
      <c r="K25" s="51"/>
      <c r="L25" s="422"/>
      <c r="M25" s="253">
        <f t="shared" si="1"/>
        <v>0</v>
      </c>
      <c r="N25" s="16"/>
    </row>
    <row r="26" spans="1:14" ht="24.9" customHeight="1" x14ac:dyDescent="0.25">
      <c r="A26" s="420" t="s">
        <v>379</v>
      </c>
      <c r="B26" s="413" t="s">
        <v>378</v>
      </c>
      <c r="C26" s="414"/>
      <c r="D26" s="414"/>
      <c r="E26" s="414"/>
      <c r="F26" s="414"/>
      <c r="G26" s="414"/>
      <c r="H26" s="414"/>
      <c r="I26" s="414"/>
      <c r="J26" s="415"/>
      <c r="K26" s="251"/>
      <c r="L26" s="251"/>
    </row>
    <row r="27" spans="1:14" ht="24.9" customHeight="1" x14ac:dyDescent="0.25">
      <c r="A27" s="421"/>
      <c r="B27" s="417" t="s">
        <v>380</v>
      </c>
      <c r="C27" s="418"/>
      <c r="D27" s="418"/>
      <c r="E27" s="418"/>
      <c r="F27" s="418"/>
      <c r="G27" s="418"/>
      <c r="H27" s="418"/>
      <c r="I27" s="418"/>
      <c r="J27" s="419"/>
      <c r="K27" s="12"/>
      <c r="L27" s="12">
        <f>IF(K27="O",2,0)</f>
        <v>0</v>
      </c>
    </row>
    <row r="28" spans="1:14" ht="24.9" customHeight="1" x14ac:dyDescent="0.25">
      <c r="A28" s="421"/>
      <c r="B28" s="425" t="s">
        <v>381</v>
      </c>
      <c r="C28" s="426"/>
      <c r="D28" s="426"/>
      <c r="E28" s="426"/>
      <c r="F28" s="426"/>
      <c r="G28" s="426"/>
      <c r="H28" s="426"/>
      <c r="I28" s="426"/>
      <c r="J28" s="427"/>
      <c r="K28" s="12"/>
      <c r="L28" s="12">
        <f t="shared" ref="L28:L29" si="2">IF(K28="O",2,0)</f>
        <v>0</v>
      </c>
    </row>
    <row r="29" spans="1:14" ht="24.9" customHeight="1" x14ac:dyDescent="0.25">
      <c r="A29" s="422"/>
      <c r="B29" s="417" t="s">
        <v>382</v>
      </c>
      <c r="C29" s="418"/>
      <c r="D29" s="418"/>
      <c r="E29" s="418"/>
      <c r="F29" s="418"/>
      <c r="G29" s="418"/>
      <c r="H29" s="418"/>
      <c r="I29" s="418"/>
      <c r="J29" s="419"/>
      <c r="K29" s="12"/>
      <c r="L29" s="12">
        <f t="shared" si="2"/>
        <v>0</v>
      </c>
    </row>
    <row r="30" spans="1:14" ht="30.75" customHeight="1" x14ac:dyDescent="0.25">
      <c r="A30" s="243" t="s">
        <v>9</v>
      </c>
      <c r="B30" s="389" t="s">
        <v>120</v>
      </c>
      <c r="C30" s="390"/>
      <c r="D30" s="390"/>
      <c r="E30" s="390"/>
      <c r="F30" s="390"/>
      <c r="G30" s="390"/>
      <c r="H30" s="390"/>
      <c r="I30" s="390"/>
      <c r="J30" s="391"/>
      <c r="K30" s="243" t="s">
        <v>394</v>
      </c>
      <c r="L30" s="250" t="s">
        <v>8</v>
      </c>
    </row>
    <row r="31" spans="1:14" ht="24.9" customHeight="1" x14ac:dyDescent="0.25">
      <c r="A31" s="420" t="s">
        <v>383</v>
      </c>
      <c r="B31" s="423" t="s">
        <v>387</v>
      </c>
      <c r="C31" s="424"/>
      <c r="D31" s="424"/>
      <c r="E31" s="424"/>
      <c r="F31" s="424"/>
      <c r="G31" s="424"/>
      <c r="H31" s="424"/>
      <c r="I31" s="424"/>
      <c r="J31" s="424"/>
      <c r="K31" s="251"/>
      <c r="L31" s="251"/>
    </row>
    <row r="32" spans="1:14" ht="24.9" customHeight="1" x14ac:dyDescent="0.25">
      <c r="A32" s="421"/>
      <c r="B32" s="423" t="s">
        <v>384</v>
      </c>
      <c r="C32" s="424"/>
      <c r="D32" s="424"/>
      <c r="E32" s="424"/>
      <c r="F32" s="424"/>
      <c r="G32" s="424"/>
      <c r="H32" s="424"/>
      <c r="I32" s="424"/>
      <c r="J32" s="424"/>
      <c r="K32" s="51"/>
      <c r="L32" s="420">
        <f>IF(N32=3,5,IF(N32=2,3,IF(N32=1,2,0)))</f>
        <v>0</v>
      </c>
      <c r="M32" s="253">
        <f t="shared" ref="M32:M34" si="3">IF(K32="O",1,0)</f>
        <v>0</v>
      </c>
      <c r="N32" s="16">
        <f>SUM(M32:M34)</f>
        <v>0</v>
      </c>
    </row>
    <row r="33" spans="1:14" ht="24.9" customHeight="1" x14ac:dyDescent="0.25">
      <c r="A33" s="421"/>
      <c r="B33" s="423" t="s">
        <v>385</v>
      </c>
      <c r="C33" s="424"/>
      <c r="D33" s="424"/>
      <c r="E33" s="424"/>
      <c r="F33" s="424"/>
      <c r="G33" s="424"/>
      <c r="H33" s="424"/>
      <c r="I33" s="424"/>
      <c r="J33" s="424"/>
      <c r="K33" s="51"/>
      <c r="L33" s="421"/>
      <c r="M33" s="253">
        <f t="shared" si="3"/>
        <v>0</v>
      </c>
      <c r="N33" s="16"/>
    </row>
    <row r="34" spans="1:14" ht="24.9" customHeight="1" x14ac:dyDescent="0.25">
      <c r="A34" s="422"/>
      <c r="B34" s="423" t="s">
        <v>386</v>
      </c>
      <c r="C34" s="424"/>
      <c r="D34" s="424"/>
      <c r="E34" s="424"/>
      <c r="F34" s="424"/>
      <c r="G34" s="424"/>
      <c r="H34" s="424"/>
      <c r="I34" s="424"/>
      <c r="J34" s="424"/>
      <c r="K34" s="51"/>
      <c r="L34" s="422"/>
      <c r="M34" s="253">
        <f t="shared" si="3"/>
        <v>0</v>
      </c>
      <c r="N34" s="16"/>
    </row>
    <row r="35" spans="1:14" ht="24.9" customHeight="1" x14ac:dyDescent="0.25">
      <c r="A35" s="12" t="s">
        <v>388</v>
      </c>
      <c r="B35" s="423" t="s">
        <v>389</v>
      </c>
      <c r="C35" s="424"/>
      <c r="D35" s="424"/>
      <c r="E35" s="424"/>
      <c r="F35" s="424"/>
      <c r="G35" s="424"/>
      <c r="H35" s="424"/>
      <c r="I35" s="424"/>
      <c r="J35" s="424"/>
      <c r="K35" s="51"/>
      <c r="L35" s="139">
        <f>IF(K35="O",5,0)</f>
        <v>0</v>
      </c>
      <c r="M35" s="16"/>
      <c r="N35" s="16"/>
    </row>
    <row r="36" spans="1:14" ht="24.9" customHeight="1" x14ac:dyDescent="0.25">
      <c r="A36" s="139" t="s">
        <v>390</v>
      </c>
      <c r="B36" s="423" t="s">
        <v>391</v>
      </c>
      <c r="C36" s="424"/>
      <c r="D36" s="424"/>
      <c r="E36" s="424"/>
      <c r="F36" s="424"/>
      <c r="G36" s="424"/>
      <c r="H36" s="424"/>
      <c r="I36" s="424"/>
      <c r="J36" s="424"/>
      <c r="K36" s="51"/>
      <c r="L36" s="139">
        <f>IF(K36&gt;=3,5,IF(K36=2,3,IF(K36=1,2,0)))</f>
        <v>0</v>
      </c>
    </row>
    <row r="37" spans="1:14" ht="34.5" customHeight="1" x14ac:dyDescent="0.25">
      <c r="A37" s="139" t="s">
        <v>392</v>
      </c>
      <c r="B37" s="423" t="s">
        <v>393</v>
      </c>
      <c r="C37" s="424"/>
      <c r="D37" s="424"/>
      <c r="E37" s="424"/>
      <c r="F37" s="424"/>
      <c r="G37" s="424"/>
      <c r="H37" s="424"/>
      <c r="I37" s="424"/>
      <c r="J37" s="424"/>
      <c r="K37" s="123"/>
      <c r="L37" s="110">
        <f>IF(K37="O",5,0)</f>
        <v>0</v>
      </c>
    </row>
    <row r="38" spans="1:14" ht="24.9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4" ht="24.9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406" t="s">
        <v>1</v>
      </c>
      <c r="K39" s="407"/>
      <c r="L39" s="37">
        <f>SUM(L5:L37)</f>
        <v>0</v>
      </c>
    </row>
    <row r="40" spans="1:14" ht="24.9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20"/>
      <c r="K40" s="20"/>
      <c r="L40" s="20"/>
    </row>
    <row r="41" spans="1:14" ht="24.9" customHeight="1" x14ac:dyDescent="0.25">
      <c r="A41" s="11"/>
      <c r="B41" s="11"/>
      <c r="C41" s="11"/>
      <c r="D41" s="11"/>
      <c r="E41" s="11"/>
      <c r="F41" s="11"/>
      <c r="G41" s="11"/>
      <c r="H41" s="11"/>
      <c r="I41" s="406" t="s">
        <v>45</v>
      </c>
      <c r="J41" s="407"/>
      <c r="K41" s="406" t="str">
        <f>IF(L39&gt;=50,"OUI","NON")</f>
        <v>NON</v>
      </c>
      <c r="L41" s="407"/>
    </row>
    <row r="42" spans="1:14" ht="24.9" customHeight="1" x14ac:dyDescent="0.25">
      <c r="A42" s="56" t="s">
        <v>395</v>
      </c>
      <c r="B42" s="11"/>
      <c r="C42" s="11"/>
      <c r="D42" s="11"/>
      <c r="E42" s="11"/>
      <c r="F42" s="11"/>
      <c r="G42" s="11"/>
      <c r="H42" s="11"/>
      <c r="I42" s="11"/>
      <c r="J42" s="20"/>
      <c r="K42" s="20"/>
      <c r="L42" s="20"/>
    </row>
  </sheetData>
  <mergeCells count="41">
    <mergeCell ref="B16:J16"/>
    <mergeCell ref="A26:A29"/>
    <mergeCell ref="B32:J32"/>
    <mergeCell ref="B33:J33"/>
    <mergeCell ref="B34:J34"/>
    <mergeCell ref="A31:A34"/>
    <mergeCell ref="B30:J30"/>
    <mergeCell ref="B27:J27"/>
    <mergeCell ref="B28:J28"/>
    <mergeCell ref="B29:J29"/>
    <mergeCell ref="B26:J26"/>
    <mergeCell ref="B18:J18"/>
    <mergeCell ref="B17:J17"/>
    <mergeCell ref="A19:A25"/>
    <mergeCell ref="L20:L25"/>
    <mergeCell ref="B25:J25"/>
    <mergeCell ref="B20:J20"/>
    <mergeCell ref="B21:J21"/>
    <mergeCell ref="B22:J22"/>
    <mergeCell ref="B23:J23"/>
    <mergeCell ref="B24:J24"/>
    <mergeCell ref="J39:K39"/>
    <mergeCell ref="I41:J41"/>
    <mergeCell ref="K41:L41"/>
    <mergeCell ref="B31:J31"/>
    <mergeCell ref="B37:J37"/>
    <mergeCell ref="B35:J35"/>
    <mergeCell ref="B36:J36"/>
    <mergeCell ref="L32:L34"/>
    <mergeCell ref="A3:L3"/>
    <mergeCell ref="B6:J6"/>
    <mergeCell ref="B7:J7"/>
    <mergeCell ref="B15:J15"/>
    <mergeCell ref="B14:J14"/>
    <mergeCell ref="B8:J8"/>
    <mergeCell ref="B10:J10"/>
    <mergeCell ref="B11:J11"/>
    <mergeCell ref="B12:J12"/>
    <mergeCell ref="B13:J13"/>
    <mergeCell ref="B9:J9"/>
    <mergeCell ref="A9:A12"/>
  </mergeCells>
  <printOptions horizontalCentered="1"/>
  <pageMargins left="0.31496062992125984" right="0.31496062992125984" top="0.28000000000000003" bottom="0.32" header="0.31496062992125984" footer="0.31496062992125984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3"/>
  <sheetViews>
    <sheetView zoomScale="90" zoomScaleNormal="90" workbookViewId="0">
      <selection activeCell="B27" sqref="B27:I27"/>
    </sheetView>
  </sheetViews>
  <sheetFormatPr baseColWidth="10" defaultColWidth="11.44140625" defaultRowHeight="24.9" customHeight="1" x14ac:dyDescent="0.25"/>
  <cols>
    <col min="1" max="7" width="11.44140625" style="2"/>
    <col min="8" max="10" width="11.44140625" style="2" customWidth="1"/>
    <col min="11" max="11" width="12.6640625" style="2" customWidth="1"/>
    <col min="12" max="12" width="11.44140625" style="2" customWidth="1"/>
    <col min="13" max="13" width="11.44140625" style="70" customWidth="1"/>
    <col min="14" max="14" width="15.33203125" style="2" customWidth="1"/>
    <col min="15" max="16" width="15" style="2" customWidth="1"/>
    <col min="17" max="17" width="27.44140625" style="2" bestFit="1" customWidth="1"/>
    <col min="18" max="18" width="11.44140625" style="2" hidden="1" customWidth="1"/>
    <col min="19" max="19" width="0" style="2" hidden="1" customWidth="1"/>
    <col min="20" max="16384" width="11.44140625" style="2"/>
  </cols>
  <sheetData>
    <row r="1" spans="1:22" s="1" customFormat="1" ht="24.9" customHeight="1" x14ac:dyDescent="0.25">
      <c r="A1" s="1" t="s">
        <v>46</v>
      </c>
      <c r="M1" s="65"/>
    </row>
    <row r="2" spans="1:22" s="1" customFormat="1" ht="24.9" customHeight="1" x14ac:dyDescent="0.25">
      <c r="M2" s="65"/>
    </row>
    <row r="3" spans="1:22" s="1" customFormat="1" ht="24.9" customHeight="1" x14ac:dyDescent="0.25">
      <c r="A3" s="327" t="s">
        <v>462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65"/>
    </row>
    <row r="5" spans="1:22" ht="24.9" customHeight="1" x14ac:dyDescent="0.25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66"/>
      <c r="N5" s="3"/>
    </row>
    <row r="6" spans="1:22" ht="24.9" customHeight="1" x14ac:dyDescent="0.25">
      <c r="A6" s="256" t="s">
        <v>9</v>
      </c>
      <c r="B6" s="431" t="s">
        <v>446</v>
      </c>
      <c r="C6" s="432"/>
      <c r="D6" s="432"/>
      <c r="E6" s="432"/>
      <c r="F6" s="432"/>
      <c r="G6" s="432"/>
      <c r="H6" s="432"/>
      <c r="I6" s="432"/>
      <c r="J6" s="433"/>
      <c r="K6" s="257" t="s">
        <v>7</v>
      </c>
      <c r="L6" s="257" t="s">
        <v>8</v>
      </c>
      <c r="M6" s="67"/>
      <c r="Q6" s="28" t="s">
        <v>447</v>
      </c>
      <c r="R6" s="2">
        <f>SUM(L7:L16)</f>
        <v>0</v>
      </c>
      <c r="S6" s="273">
        <v>0.34</v>
      </c>
      <c r="T6" s="90">
        <f>R6*S6</f>
        <v>0</v>
      </c>
    </row>
    <row r="7" spans="1:22" ht="34.5" customHeight="1" x14ac:dyDescent="0.25">
      <c r="A7" s="15" t="s">
        <v>396</v>
      </c>
      <c r="B7" s="439" t="s">
        <v>404</v>
      </c>
      <c r="C7" s="440"/>
      <c r="D7" s="440"/>
      <c r="E7" s="440"/>
      <c r="F7" s="440"/>
      <c r="G7" s="440"/>
      <c r="H7" s="440"/>
      <c r="I7" s="440"/>
      <c r="J7" s="441"/>
      <c r="K7" s="55"/>
      <c r="L7" s="15">
        <f>IF(K7&gt;=5,5,IF(K7&gt;=3,4,IF(K7&gt;=1,3,0)))</f>
        <v>0</v>
      </c>
      <c r="M7" s="68"/>
      <c r="Q7" s="28" t="s">
        <v>448</v>
      </c>
      <c r="R7" s="2">
        <f>SUM(L18:L19)</f>
        <v>0</v>
      </c>
      <c r="S7" s="273">
        <v>1.67</v>
      </c>
      <c r="T7" s="90">
        <f t="shared" ref="T7:T11" si="0">R7*S7</f>
        <v>0</v>
      </c>
    </row>
    <row r="8" spans="1:22" ht="24.9" customHeight="1" x14ac:dyDescent="0.25">
      <c r="A8" s="15" t="s">
        <v>397</v>
      </c>
      <c r="B8" s="428" t="s">
        <v>405</v>
      </c>
      <c r="C8" s="429"/>
      <c r="D8" s="429"/>
      <c r="E8" s="429"/>
      <c r="F8" s="429"/>
      <c r="G8" s="429"/>
      <c r="H8" s="429"/>
      <c r="I8" s="429"/>
      <c r="J8" s="430"/>
      <c r="K8" s="55"/>
      <c r="L8" s="15">
        <f>IF(K8&gt;=3,5,IF(K8=2,4,IF(K8=1,3,0)))</f>
        <v>0</v>
      </c>
      <c r="M8" s="68"/>
      <c r="Q8" s="28" t="s">
        <v>449</v>
      </c>
      <c r="R8" s="2">
        <f>L21</f>
        <v>0</v>
      </c>
      <c r="S8" s="273">
        <v>5</v>
      </c>
      <c r="T8" s="2">
        <f t="shared" si="0"/>
        <v>0</v>
      </c>
    </row>
    <row r="9" spans="1:22" ht="24.9" customHeight="1" x14ac:dyDescent="0.25">
      <c r="A9" s="15" t="s">
        <v>398</v>
      </c>
      <c r="B9" s="428" t="s">
        <v>408</v>
      </c>
      <c r="C9" s="429"/>
      <c r="D9" s="429"/>
      <c r="E9" s="429"/>
      <c r="F9" s="429"/>
      <c r="G9" s="429"/>
      <c r="H9" s="429"/>
      <c r="I9" s="429"/>
      <c r="J9" s="430"/>
      <c r="K9" s="53">
        <f>IFERROR('Eval CC Projet de formation'!O10/Données!F15,0)</f>
        <v>0</v>
      </c>
      <c r="L9" s="15">
        <f>IF(K9&gt;=12.5%,15,IF(K9&gt;=8.33%,10,IF(K9&gt;=6.25%,5,0)))</f>
        <v>0</v>
      </c>
      <c r="M9" s="68"/>
      <c r="N9" s="71" t="s">
        <v>106</v>
      </c>
      <c r="O9" s="71" t="s">
        <v>107</v>
      </c>
      <c r="P9" s="95"/>
      <c r="Q9" s="28" t="s">
        <v>452</v>
      </c>
      <c r="R9" s="2">
        <f>L23</f>
        <v>0</v>
      </c>
      <c r="S9" s="273">
        <v>5</v>
      </c>
      <c r="T9" s="2">
        <f t="shared" si="0"/>
        <v>0</v>
      </c>
    </row>
    <row r="10" spans="1:22" ht="30" customHeight="1" x14ac:dyDescent="0.25">
      <c r="A10" s="15" t="s">
        <v>399</v>
      </c>
      <c r="B10" s="439" t="s">
        <v>406</v>
      </c>
      <c r="C10" s="440"/>
      <c r="D10" s="440"/>
      <c r="E10" s="440"/>
      <c r="F10" s="440"/>
      <c r="G10" s="440"/>
      <c r="H10" s="440"/>
      <c r="I10" s="440"/>
      <c r="J10" s="441"/>
      <c r="K10" s="53">
        <f>IFERROR('Eval CC Projet de formation'!O11/(Données!F13+Données!F11),0)</f>
        <v>0</v>
      </c>
      <c r="L10" s="15">
        <f t="shared" ref="L10:L11" si="1">IF(K10&gt;=12.5%,15,IF(K10&gt;=8.33%,10,IF(K10&gt;=6.25%,5,0)))</f>
        <v>0</v>
      </c>
      <c r="M10" s="68"/>
      <c r="N10" s="71" t="s">
        <v>108</v>
      </c>
      <c r="O10" s="64"/>
      <c r="P10" s="96"/>
      <c r="Q10" s="28" t="s">
        <v>450</v>
      </c>
      <c r="R10" s="2">
        <f>L25</f>
        <v>0</v>
      </c>
      <c r="S10" s="273">
        <v>5</v>
      </c>
      <c r="T10" s="2">
        <f t="shared" si="0"/>
        <v>0</v>
      </c>
    </row>
    <row r="11" spans="1:22" ht="24.9" customHeight="1" x14ac:dyDescent="0.25">
      <c r="A11" s="15" t="s">
        <v>400</v>
      </c>
      <c r="B11" s="439" t="s">
        <v>407</v>
      </c>
      <c r="C11" s="440"/>
      <c r="D11" s="440"/>
      <c r="E11" s="440"/>
      <c r="F11" s="440"/>
      <c r="G11" s="440"/>
      <c r="H11" s="440"/>
      <c r="I11" s="440"/>
      <c r="J11" s="441"/>
      <c r="K11" s="53">
        <f>IFERROR(('Eval CC Projet de formation'!O12/Données!F5),0)</f>
        <v>0</v>
      </c>
      <c r="L11" s="15">
        <f t="shared" si="1"/>
        <v>0</v>
      </c>
      <c r="M11" s="68"/>
      <c r="N11" s="71" t="s">
        <v>109</v>
      </c>
      <c r="O11" s="64"/>
      <c r="P11" s="96"/>
      <c r="Q11" s="28" t="s">
        <v>451</v>
      </c>
      <c r="R11" s="2">
        <f>L27</f>
        <v>0</v>
      </c>
      <c r="S11" s="273">
        <v>5</v>
      </c>
      <c r="T11" s="2">
        <f t="shared" si="0"/>
        <v>0</v>
      </c>
    </row>
    <row r="12" spans="1:22" ht="24.9" customHeight="1" x14ac:dyDescent="0.25">
      <c r="A12" s="436" t="s">
        <v>401</v>
      </c>
      <c r="B12" s="428" t="s">
        <v>409</v>
      </c>
      <c r="C12" s="429"/>
      <c r="D12" s="429"/>
      <c r="E12" s="429"/>
      <c r="F12" s="429"/>
      <c r="G12" s="429"/>
      <c r="H12" s="429"/>
      <c r="I12" s="429"/>
      <c r="J12" s="430"/>
      <c r="K12" s="260"/>
      <c r="L12" s="261"/>
      <c r="M12" s="68"/>
      <c r="N12" s="71" t="s">
        <v>110</v>
      </c>
      <c r="O12" s="64"/>
      <c r="P12" s="96"/>
      <c r="Q12" s="28"/>
      <c r="R12" s="2">
        <v>108</v>
      </c>
      <c r="S12" s="90"/>
    </row>
    <row r="13" spans="1:22" ht="24.9" customHeight="1" x14ac:dyDescent="0.25">
      <c r="A13" s="438"/>
      <c r="B13" s="428" t="s">
        <v>411</v>
      </c>
      <c r="C13" s="429"/>
      <c r="D13" s="429"/>
      <c r="E13" s="429"/>
      <c r="F13" s="429"/>
      <c r="G13" s="429"/>
      <c r="H13" s="429"/>
      <c r="I13" s="429"/>
      <c r="J13" s="430"/>
      <c r="K13" s="259"/>
      <c r="L13" s="436">
        <f>IF(N13&gt;=3,3,N13)</f>
        <v>0</v>
      </c>
      <c r="M13" s="68">
        <f>K13/2</f>
        <v>0</v>
      </c>
      <c r="N13" s="16">
        <f>SUM(M13:M14)</f>
        <v>0</v>
      </c>
      <c r="Q13" s="28"/>
      <c r="S13" s="90"/>
    </row>
    <row r="14" spans="1:22" ht="24.9" customHeight="1" x14ac:dyDescent="0.25">
      <c r="A14" s="437"/>
      <c r="B14" s="428" t="s">
        <v>412</v>
      </c>
      <c r="C14" s="429"/>
      <c r="D14" s="429"/>
      <c r="E14" s="429"/>
      <c r="F14" s="429"/>
      <c r="G14" s="429"/>
      <c r="H14" s="429"/>
      <c r="I14" s="429"/>
      <c r="J14" s="430"/>
      <c r="K14" s="259"/>
      <c r="L14" s="437"/>
      <c r="M14" s="258">
        <f>K14</f>
        <v>0</v>
      </c>
      <c r="Q14" s="28"/>
      <c r="S14" s="90"/>
    </row>
    <row r="15" spans="1:22" ht="24.9" customHeight="1" x14ac:dyDescent="0.25">
      <c r="A15" s="15" t="s">
        <v>402</v>
      </c>
      <c r="B15" s="360" t="s">
        <v>410</v>
      </c>
      <c r="C15" s="361"/>
      <c r="D15" s="361"/>
      <c r="E15" s="361"/>
      <c r="F15" s="361"/>
      <c r="G15" s="361"/>
      <c r="H15" s="361"/>
      <c r="I15" s="361"/>
      <c r="J15" s="362"/>
      <c r="K15" s="55"/>
      <c r="L15" s="15">
        <f>IF(K15&gt;=3,5,IF(K15=2,4,IF(K15=1,2,0)))</f>
        <v>0</v>
      </c>
      <c r="M15" s="68"/>
      <c r="Q15" s="28"/>
    </row>
    <row r="16" spans="1:22" ht="30" customHeight="1" x14ac:dyDescent="0.25">
      <c r="A16" s="265" t="s">
        <v>403</v>
      </c>
      <c r="B16" s="446" t="s">
        <v>414</v>
      </c>
      <c r="C16" s="447"/>
      <c r="D16" s="447"/>
      <c r="E16" s="447"/>
      <c r="F16" s="447"/>
      <c r="G16" s="447"/>
      <c r="H16" s="447"/>
      <c r="I16" s="448"/>
      <c r="J16" s="444"/>
      <c r="K16" s="445"/>
      <c r="L16" s="264">
        <f>IF(J16=R17,10,IF(J16=R18,8,IF(R19=J16,6,IF(J16=R20,5,IF(J16=R21,4,IF(J16=R22,2,0))))))</f>
        <v>0</v>
      </c>
      <c r="M16" s="67"/>
      <c r="O16"/>
      <c r="P16"/>
      <c r="S16"/>
      <c r="T16"/>
      <c r="U16"/>
      <c r="V16"/>
    </row>
    <row r="17" spans="1:22" ht="24.9" customHeight="1" x14ac:dyDescent="0.25">
      <c r="A17" s="256" t="s">
        <v>9</v>
      </c>
      <c r="B17" s="431" t="s">
        <v>415</v>
      </c>
      <c r="C17" s="432"/>
      <c r="D17" s="432"/>
      <c r="E17" s="432"/>
      <c r="F17" s="432"/>
      <c r="G17" s="432"/>
      <c r="H17" s="432"/>
      <c r="I17" s="432"/>
      <c r="J17" s="433"/>
      <c r="K17" s="257" t="s">
        <v>7</v>
      </c>
      <c r="L17" s="257" t="s">
        <v>8</v>
      </c>
      <c r="M17" s="67"/>
      <c r="O17"/>
      <c r="P17"/>
      <c r="Q17"/>
      <c r="R17" t="s">
        <v>413</v>
      </c>
      <c r="S17"/>
      <c r="T17"/>
      <c r="U17"/>
      <c r="V17"/>
    </row>
    <row r="18" spans="1:22" ht="24.9" customHeight="1" x14ac:dyDescent="0.25">
      <c r="A18" s="15" t="s">
        <v>416</v>
      </c>
      <c r="B18" s="428" t="s">
        <v>422</v>
      </c>
      <c r="C18" s="429"/>
      <c r="D18" s="429"/>
      <c r="E18" s="429"/>
      <c r="F18" s="429"/>
      <c r="G18" s="429"/>
      <c r="H18" s="429"/>
      <c r="I18" s="429"/>
      <c r="J18" s="430"/>
      <c r="K18" s="53">
        <f>IFERROR(Données!J41/Données!F41,0)</f>
        <v>0</v>
      </c>
      <c r="L18" s="15">
        <f>IF(K18&gt;=90%,10,IF(K18&gt;=80%,8,IF(K18&gt;=70%,5,0)))</f>
        <v>0</v>
      </c>
      <c r="M18" s="67"/>
      <c r="O18"/>
      <c r="P18"/>
      <c r="Q18"/>
      <c r="R18" t="s">
        <v>440</v>
      </c>
      <c r="S18"/>
      <c r="T18"/>
      <c r="U18"/>
      <c r="V18"/>
    </row>
    <row r="19" spans="1:22" ht="24.9" customHeight="1" x14ac:dyDescent="0.25">
      <c r="A19" s="15" t="s">
        <v>417</v>
      </c>
      <c r="B19" s="428" t="s">
        <v>423</v>
      </c>
      <c r="C19" s="429"/>
      <c r="D19" s="429"/>
      <c r="E19" s="429"/>
      <c r="F19" s="429"/>
      <c r="G19" s="429"/>
      <c r="H19" s="429"/>
      <c r="I19" s="429"/>
      <c r="J19" s="430"/>
      <c r="K19" s="53">
        <f>IFERROR(Données!J37/Données!F37,0)</f>
        <v>0</v>
      </c>
      <c r="L19" s="15">
        <f>IF(K19&gt;=90%,5,IF(K19&gt;=80%,4,IF(K19&gt;=70%,2,0)))</f>
        <v>0</v>
      </c>
      <c r="M19" s="67"/>
      <c r="O19"/>
      <c r="P19"/>
      <c r="Q19"/>
      <c r="R19" t="s">
        <v>441</v>
      </c>
      <c r="S19"/>
      <c r="T19"/>
      <c r="U19"/>
      <c r="V19"/>
    </row>
    <row r="20" spans="1:22" ht="24.9" customHeight="1" x14ac:dyDescent="0.25">
      <c r="A20" s="256" t="s">
        <v>9</v>
      </c>
      <c r="B20" s="431" t="s">
        <v>418</v>
      </c>
      <c r="C20" s="432"/>
      <c r="D20" s="432"/>
      <c r="E20" s="432"/>
      <c r="F20" s="432"/>
      <c r="G20" s="432"/>
      <c r="H20" s="432"/>
      <c r="I20" s="433"/>
      <c r="J20" s="434" t="s">
        <v>307</v>
      </c>
      <c r="K20" s="434"/>
      <c r="L20" s="257" t="s">
        <v>8</v>
      </c>
      <c r="M20" s="67"/>
      <c r="O20"/>
      <c r="P20"/>
      <c r="Q20"/>
      <c r="R20" t="s">
        <v>442</v>
      </c>
      <c r="S20"/>
      <c r="T20"/>
      <c r="U20"/>
      <c r="V20"/>
    </row>
    <row r="21" spans="1:22" ht="24.9" customHeight="1" x14ac:dyDescent="0.25">
      <c r="A21" s="15" t="s">
        <v>424</v>
      </c>
      <c r="B21" s="360" t="s">
        <v>4</v>
      </c>
      <c r="C21" s="361"/>
      <c r="D21" s="361"/>
      <c r="E21" s="361"/>
      <c r="F21" s="361"/>
      <c r="G21" s="361"/>
      <c r="H21" s="361"/>
      <c r="I21" s="362"/>
      <c r="J21" s="435"/>
      <c r="K21" s="435"/>
      <c r="L21" s="15">
        <f>IF(J21=$O$29,0,IF(J21=$O$30,1.5,IF(J21=$O$31,3.5,IF(J21=$O$32,5,0))))</f>
        <v>0</v>
      </c>
      <c r="M21" s="67"/>
      <c r="O21"/>
      <c r="P21"/>
      <c r="Q21"/>
      <c r="R21" t="s">
        <v>443</v>
      </c>
      <c r="S21"/>
      <c r="T21"/>
      <c r="U21"/>
      <c r="V21"/>
    </row>
    <row r="22" spans="1:22" ht="24.9" customHeight="1" x14ac:dyDescent="0.25">
      <c r="A22" s="256" t="s">
        <v>9</v>
      </c>
      <c r="B22" s="431" t="s">
        <v>419</v>
      </c>
      <c r="C22" s="432"/>
      <c r="D22" s="432"/>
      <c r="E22" s="432"/>
      <c r="F22" s="432"/>
      <c r="G22" s="432"/>
      <c r="H22" s="432"/>
      <c r="I22" s="433"/>
      <c r="J22" s="434" t="s">
        <v>307</v>
      </c>
      <c r="K22" s="434"/>
      <c r="L22" s="257" t="s">
        <v>8</v>
      </c>
      <c r="M22" s="67"/>
      <c r="O22"/>
      <c r="P22"/>
      <c r="Q22"/>
      <c r="R22" t="s">
        <v>444</v>
      </c>
      <c r="S22"/>
      <c r="T22"/>
      <c r="U22"/>
      <c r="V22"/>
    </row>
    <row r="23" spans="1:22" ht="24.9" customHeight="1" x14ac:dyDescent="0.25">
      <c r="A23" s="15" t="s">
        <v>425</v>
      </c>
      <c r="B23" s="428" t="s">
        <v>5</v>
      </c>
      <c r="C23" s="429"/>
      <c r="D23" s="429"/>
      <c r="E23" s="429"/>
      <c r="F23" s="429"/>
      <c r="G23" s="429"/>
      <c r="H23" s="429"/>
      <c r="I23" s="430"/>
      <c r="J23" s="435"/>
      <c r="K23" s="435"/>
      <c r="L23" s="15">
        <f>IF(J23=$O$29,0,IF(J23=$O$30,1.5,IF(J23=$O$31,3.5,IF(J23=$O$32,5,0))))</f>
        <v>0</v>
      </c>
      <c r="M23" s="67"/>
      <c r="Q23"/>
      <c r="R23" t="s">
        <v>445</v>
      </c>
    </row>
    <row r="24" spans="1:22" ht="24.9" customHeight="1" x14ac:dyDescent="0.25">
      <c r="A24" s="256" t="s">
        <v>9</v>
      </c>
      <c r="B24" s="431" t="s">
        <v>420</v>
      </c>
      <c r="C24" s="432"/>
      <c r="D24" s="432"/>
      <c r="E24" s="432"/>
      <c r="F24" s="432"/>
      <c r="G24" s="432"/>
      <c r="H24" s="432"/>
      <c r="I24" s="433"/>
      <c r="J24" s="434" t="s">
        <v>307</v>
      </c>
      <c r="K24" s="434"/>
      <c r="L24" s="257" t="s">
        <v>8</v>
      </c>
      <c r="M24" s="68"/>
    </row>
    <row r="25" spans="1:22" ht="24.9" customHeight="1" x14ac:dyDescent="0.25">
      <c r="A25" s="15" t="s">
        <v>426</v>
      </c>
      <c r="B25" s="428" t="s">
        <v>6</v>
      </c>
      <c r="C25" s="429"/>
      <c r="D25" s="429"/>
      <c r="E25" s="429"/>
      <c r="F25" s="429"/>
      <c r="G25" s="429"/>
      <c r="H25" s="429"/>
      <c r="I25" s="430"/>
      <c r="J25" s="435"/>
      <c r="K25" s="435"/>
      <c r="L25" s="15">
        <f>IF(J25=$O$29,0,IF(J25=$O$30,1.5,IF(J25=$O$31,3.5,IF(J25=$O$32,5,0))))</f>
        <v>0</v>
      </c>
      <c r="M25" s="68"/>
    </row>
    <row r="26" spans="1:22" ht="24.9" customHeight="1" x14ac:dyDescent="0.25">
      <c r="A26" s="256" t="s">
        <v>9</v>
      </c>
      <c r="B26" s="431" t="s">
        <v>421</v>
      </c>
      <c r="C26" s="432"/>
      <c r="D26" s="432"/>
      <c r="E26" s="432"/>
      <c r="F26" s="432"/>
      <c r="G26" s="432"/>
      <c r="H26" s="432"/>
      <c r="I26" s="433"/>
      <c r="J26" s="434" t="s">
        <v>307</v>
      </c>
      <c r="K26" s="434"/>
      <c r="L26" s="257" t="s">
        <v>8</v>
      </c>
      <c r="M26" s="68"/>
    </row>
    <row r="27" spans="1:22" ht="24.9" customHeight="1" x14ac:dyDescent="0.25">
      <c r="A27" s="15" t="s">
        <v>427</v>
      </c>
      <c r="B27" s="360" t="s">
        <v>428</v>
      </c>
      <c r="C27" s="361"/>
      <c r="D27" s="361"/>
      <c r="E27" s="361"/>
      <c r="F27" s="361"/>
      <c r="G27" s="361"/>
      <c r="H27" s="361"/>
      <c r="I27" s="362"/>
      <c r="J27" s="435"/>
      <c r="K27" s="435"/>
      <c r="L27" s="15">
        <f>IF(J27=$O$29,0,IF(J27=$O$30,1.5,IF(J27=$O$31,3.5,IF(J27=$O$32,5,0))))</f>
        <v>0</v>
      </c>
      <c r="M27" s="68"/>
      <c r="N27" s="125"/>
    </row>
    <row r="28" spans="1:22" ht="24.9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8"/>
      <c r="O28" s="16"/>
    </row>
    <row r="29" spans="1:22" ht="24.9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406" t="s">
        <v>1</v>
      </c>
      <c r="K29" s="407"/>
      <c r="L29" s="37">
        <f>SUM(L5:L27)</f>
        <v>0</v>
      </c>
      <c r="M29" s="66"/>
      <c r="O29" s="16" t="s">
        <v>297</v>
      </c>
    </row>
    <row r="30" spans="1:22" ht="24.9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27"/>
      <c r="K30" s="27"/>
      <c r="L30" s="27"/>
      <c r="M30" s="69"/>
      <c r="O30" s="16" t="s">
        <v>298</v>
      </c>
    </row>
    <row r="31" spans="1:22" ht="24.9" customHeight="1" x14ac:dyDescent="0.25">
      <c r="A31" s="14"/>
      <c r="B31" s="14"/>
      <c r="C31" s="14"/>
      <c r="D31" s="14"/>
      <c r="E31" s="14"/>
      <c r="F31" s="14"/>
      <c r="G31" s="14"/>
      <c r="H31" s="442" t="s">
        <v>52</v>
      </c>
      <c r="I31" s="442"/>
      <c r="J31" s="443"/>
      <c r="K31" s="406" t="str">
        <f>IF(L29&gt;60,"ELITE",IF(L29&gt;=50,"EXCELLENCE",IF(L29&gt;=40,"ESPOIR","")))</f>
        <v/>
      </c>
      <c r="L31" s="407"/>
      <c r="M31" s="68"/>
      <c r="O31" s="16" t="s">
        <v>300</v>
      </c>
    </row>
    <row r="32" spans="1:22" ht="24.9" customHeight="1" x14ac:dyDescent="0.25">
      <c r="A32" s="57" t="s">
        <v>429</v>
      </c>
      <c r="B32" s="14"/>
      <c r="C32" s="14"/>
      <c r="D32" s="14"/>
      <c r="E32" s="14"/>
      <c r="F32" s="14"/>
      <c r="G32" s="14"/>
      <c r="H32" s="14"/>
      <c r="I32" s="14"/>
      <c r="J32" s="27"/>
      <c r="K32" s="27"/>
      <c r="L32" s="27"/>
      <c r="O32" s="16" t="s">
        <v>301</v>
      </c>
    </row>
    <row r="33" spans="15:15" ht="24.9" customHeight="1" x14ac:dyDescent="0.25">
      <c r="O33" s="28"/>
    </row>
  </sheetData>
  <mergeCells count="37">
    <mergeCell ref="B15:J15"/>
    <mergeCell ref="B17:J17"/>
    <mergeCell ref="K31:L31"/>
    <mergeCell ref="H31:J31"/>
    <mergeCell ref="J29:K29"/>
    <mergeCell ref="J25:K25"/>
    <mergeCell ref="J26:K26"/>
    <mergeCell ref="J27:K27"/>
    <mergeCell ref="B20:I20"/>
    <mergeCell ref="B21:I21"/>
    <mergeCell ref="B22:I22"/>
    <mergeCell ref="B23:I23"/>
    <mergeCell ref="B24:I24"/>
    <mergeCell ref="J16:K16"/>
    <mergeCell ref="B16:I16"/>
    <mergeCell ref="B25:I25"/>
    <mergeCell ref="B6:J6"/>
    <mergeCell ref="B8:J8"/>
    <mergeCell ref="B9:J9"/>
    <mergeCell ref="B10:J10"/>
    <mergeCell ref="B7:J7"/>
    <mergeCell ref="B18:J18"/>
    <mergeCell ref="B19:J19"/>
    <mergeCell ref="A3:L3"/>
    <mergeCell ref="B26:I26"/>
    <mergeCell ref="B27:I27"/>
    <mergeCell ref="J20:K20"/>
    <mergeCell ref="J21:K21"/>
    <mergeCell ref="J22:K22"/>
    <mergeCell ref="J23:K23"/>
    <mergeCell ref="J24:K24"/>
    <mergeCell ref="B14:J14"/>
    <mergeCell ref="L13:L14"/>
    <mergeCell ref="A12:A14"/>
    <mergeCell ref="B12:J12"/>
    <mergeCell ref="B13:J13"/>
    <mergeCell ref="B11:J11"/>
  </mergeCells>
  <dataValidations count="2">
    <dataValidation type="list" allowBlank="1" showInputMessage="1" showErrorMessage="1" sqref="J21:K21 J23:K23 J25:K25 J27:K27">
      <formula1>$O$29:$O$32</formula1>
    </dataValidation>
    <dataValidation type="list" allowBlank="1" showInputMessage="1" showErrorMessage="1" sqref="J16:K16">
      <formula1>$R$17:$R$23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60" zoomScaleNormal="60" workbookViewId="0">
      <selection activeCell="H15" sqref="H15"/>
    </sheetView>
  </sheetViews>
  <sheetFormatPr baseColWidth="10" defaultRowHeight="13.2" x14ac:dyDescent="0.25"/>
  <cols>
    <col min="1" max="8" width="25.6640625" customWidth="1"/>
  </cols>
  <sheetData>
    <row r="1" spans="1:8" s="1" customFormat="1" ht="24.9" customHeight="1" x14ac:dyDescent="0.25">
      <c r="A1" s="1" t="s">
        <v>48</v>
      </c>
    </row>
    <row r="3" spans="1:8" ht="44.25" customHeight="1" x14ac:dyDescent="0.25">
      <c r="A3" s="450" t="s">
        <v>49</v>
      </c>
      <c r="B3" s="450"/>
      <c r="D3" s="450" t="s">
        <v>50</v>
      </c>
      <c r="E3" s="450"/>
      <c r="G3" s="450" t="s">
        <v>51</v>
      </c>
      <c r="H3" s="450"/>
    </row>
    <row r="4" spans="1:8" ht="10.5" customHeight="1" x14ac:dyDescent="0.4">
      <c r="A4" s="58"/>
    </row>
    <row r="5" spans="1:8" ht="44.25" customHeight="1" x14ac:dyDescent="0.25">
      <c r="A5" s="449" t="s">
        <v>0</v>
      </c>
      <c r="B5" s="449"/>
      <c r="C5" s="449"/>
      <c r="D5" s="449"/>
      <c r="E5" s="449"/>
      <c r="F5" s="449"/>
      <c r="G5" s="449"/>
      <c r="H5" s="449"/>
    </row>
    <row r="6" spans="1:8" ht="10.5" customHeight="1" x14ac:dyDescent="0.4">
      <c r="A6" s="58"/>
    </row>
    <row r="7" spans="1:8" ht="50.1" customHeight="1" x14ac:dyDescent="0.25">
      <c r="A7" s="451" t="str">
        <f>IF('Eval CI'!I73="validé","VALIDE","NON VALIDE")</f>
        <v>NON VALIDE</v>
      </c>
      <c r="B7" s="452"/>
      <c r="D7" s="455" t="str">
        <f>IF('Eval CI'!K73="validé","VALIDE","NON VALIDE")</f>
        <v>NON VALIDE</v>
      </c>
      <c r="E7" s="456"/>
      <c r="G7" s="459" t="str">
        <f>IF('Eval CI'!M73="validé","VALIDE","NON VALIDE")</f>
        <v>NON VALIDE</v>
      </c>
      <c r="H7" s="460"/>
    </row>
    <row r="8" spans="1:8" ht="50.1" customHeight="1" x14ac:dyDescent="0.25">
      <c r="A8" s="453"/>
      <c r="B8" s="454"/>
      <c r="D8" s="457"/>
      <c r="E8" s="458"/>
      <c r="G8" s="461"/>
      <c r="H8" s="462"/>
    </row>
    <row r="12" spans="1:8" ht="44.25" customHeight="1" x14ac:dyDescent="0.25">
      <c r="A12" s="449" t="s">
        <v>3</v>
      </c>
      <c r="B12" s="449"/>
      <c r="C12" s="449"/>
      <c r="D12" s="449"/>
      <c r="E12" s="449"/>
      <c r="F12" s="449"/>
      <c r="G12" s="449"/>
      <c r="H12" s="449"/>
    </row>
    <row r="13" spans="1:8" ht="12.75" customHeight="1" x14ac:dyDescent="0.25">
      <c r="A13" s="63"/>
      <c r="B13" s="63"/>
    </row>
    <row r="14" spans="1:8" ht="50.1" customHeight="1" x14ac:dyDescent="0.25">
      <c r="A14" s="59" t="str">
        <f>IF('Eval CC Projet associatif'!L71&gt;=50,"VALIDE","NON VALIDE")</f>
        <v>NON VALIDE</v>
      </c>
      <c r="B14" s="60" t="str">
        <f>IF('Eval CC Projet sportif'!I42&gt;=50,"VALIDE","NON VALIDE")</f>
        <v>NON VALIDE</v>
      </c>
      <c r="D14" s="59" t="str">
        <f>IF('Eval CC Projet associatif'!L71&gt;=60,"VALIDE","NON VALIDE")</f>
        <v>NON VALIDE</v>
      </c>
      <c r="E14" s="60" t="str">
        <f>IF('Eval CC Projet sportif'!I42&gt;=70,"VALIDE","NON VALIDE")</f>
        <v>NON VALIDE</v>
      </c>
      <c r="G14" s="59" t="str">
        <f>IF('Eval CC Projet associatif'!L71&gt;=70,"VALIDE","NON VALIDE")</f>
        <v>NON VALIDE</v>
      </c>
      <c r="H14" s="60" t="str">
        <f>IF('Eval CC Projet sportif'!I42&gt;=80,"VALIDE","NON VALIDE")</f>
        <v>NON VALIDE</v>
      </c>
    </row>
    <row r="15" spans="1:8" ht="50.1" customHeight="1" x14ac:dyDescent="0.25">
      <c r="A15" s="61" t="str">
        <f>IF('Eval CC Projet éducatif'!$L$39&gt;=70,"VALIDE","NON VALIDE")</f>
        <v>NON VALIDE</v>
      </c>
      <c r="B15" s="62" t="str">
        <f>IF('Eval CC Projet de formation'!$L$29&gt;=50,"VALIDE","NON VALIDE")</f>
        <v>NON VALIDE</v>
      </c>
      <c r="D15" s="61" t="str">
        <f>IF('Eval CC Projet éducatif'!$L$39&gt;=70,"VALIDE","NON VALIDE")</f>
        <v>NON VALIDE</v>
      </c>
      <c r="E15" s="62" t="str">
        <f>IF('Eval CC Projet de formation'!$L$29&gt;=70,"VALIDE","NON VALIDE")</f>
        <v>NON VALIDE</v>
      </c>
      <c r="G15" s="61" t="str">
        <f>IF('Eval CC Projet éducatif'!$L$39&gt;=70,"VALIDE","NON VALIDE")</f>
        <v>NON VALIDE</v>
      </c>
      <c r="H15" s="62" t="str">
        <f>IF('Eval CC Projet de formation'!$L$29&gt;=80,"VALIDE","NON VALIDE")</f>
        <v>NON VALIDE</v>
      </c>
    </row>
    <row r="22" ht="50.1" customHeight="1" x14ac:dyDescent="0.25"/>
    <row r="23" ht="50.1" customHeight="1" x14ac:dyDescent="0.25"/>
    <row r="30" ht="50.1" customHeight="1" x14ac:dyDescent="0.25"/>
    <row r="31" ht="50.1" customHeight="1" x14ac:dyDescent="0.25"/>
  </sheetData>
  <mergeCells count="8">
    <mergeCell ref="A5:H5"/>
    <mergeCell ref="A12:H12"/>
    <mergeCell ref="A3:B3"/>
    <mergeCell ref="D3:E3"/>
    <mergeCell ref="G3:H3"/>
    <mergeCell ref="A7:B8"/>
    <mergeCell ref="D7:E8"/>
    <mergeCell ref="G7:H8"/>
  </mergeCells>
  <pageMargins left="0.7" right="0.7" top="0.75" bottom="0.75" header="0.3" footer="0.3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10</vt:i4>
      </vt:variant>
    </vt:vector>
  </HeadingPairs>
  <TitlesOfParts>
    <vt:vector size="17" baseType="lpstr">
      <vt:lpstr>Données</vt:lpstr>
      <vt:lpstr>Eval CI</vt:lpstr>
      <vt:lpstr>Eval CC Projet associatif</vt:lpstr>
      <vt:lpstr>Eval CC Projet sportif</vt:lpstr>
      <vt:lpstr>Eval CC Projet éducatif</vt:lpstr>
      <vt:lpstr>Eval CC Projet de formation</vt:lpstr>
      <vt:lpstr>Eval finale</vt:lpstr>
      <vt:lpstr>'Eval CC Projet associatif'!Impression_des_titres</vt:lpstr>
      <vt:lpstr>'Eval CC Projet éducatif'!Impression_des_titres</vt:lpstr>
      <vt:lpstr>'Eval CC Projet sportif'!Impression_des_titres</vt:lpstr>
      <vt:lpstr>'Eval CI'!Impression_des_titres</vt:lpstr>
      <vt:lpstr>'Eval CC Projet associatif'!Zone_d_impression</vt:lpstr>
      <vt:lpstr>'Eval CC Projet de formation'!Zone_d_impression</vt:lpstr>
      <vt:lpstr>'Eval CC Projet éducatif'!Zone_d_impression</vt:lpstr>
      <vt:lpstr>'Eval CC Projet sportif'!Zone_d_impression</vt:lpstr>
      <vt:lpstr>'Eval CI'!Zone_d_impression</vt:lpstr>
      <vt:lpstr>'Eval finale'!Zone_d_impression</vt:lpstr>
    </vt:vector>
  </TitlesOfParts>
  <Company>FFF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RABAT</dc:creator>
  <cp:lastModifiedBy>Eric CHEVALIER</cp:lastModifiedBy>
  <cp:lastPrinted>2017-11-30T12:36:15Z</cp:lastPrinted>
  <dcterms:created xsi:type="dcterms:W3CDTF">2003-01-07T21:26:31Z</dcterms:created>
  <dcterms:modified xsi:type="dcterms:W3CDTF">2023-03-06T00:27:59Z</dcterms:modified>
</cp:coreProperties>
</file>